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mc:AlternateContent xmlns:mc="http://schemas.openxmlformats.org/markup-compatibility/2006">
    <mc:Choice Requires="x15">
      <x15ac:absPath xmlns:x15ac="http://schemas.microsoft.com/office/spreadsheetml/2010/11/ac" url="C:\Users\julian.rueda\Desktop\CONAVI\2023\Informes DIE\5. Mayo\"/>
    </mc:Choice>
  </mc:AlternateContent>
  <xr:revisionPtr revIDLastSave="0" documentId="13_ncr:1_{84758202-AF3B-4D51-B03C-040616772965}" xr6:coauthVersionLast="36" xr6:coauthVersionMax="36" xr10:uidLastSave="{00000000-0000-0000-0000-000000000000}"/>
  <bookViews>
    <workbookView xWindow="0" yWindow="0" windowWidth="28800" windowHeight="12105" activeTab="1" xr2:uid="{00000000-000D-0000-FFFF-FFFF00000000}"/>
  </bookViews>
  <sheets>
    <sheet name="Sumario" sheetId="1" r:id="rId1"/>
    <sheet name="6. Garza Nosara" sheetId="3" r:id="rId2"/>
    <sheet name="8. Seráfico" sheetId="8" r:id="rId3"/>
    <sheet name="24. La Galera" sheetId="6" r:id="rId4"/>
    <sheet name="28. Brasilito" sheetId="9" r:id="rId5"/>
    <sheet name="42. Flores" sheetId="10" r:id="rId6"/>
  </sheets>
  <definedNames>
    <definedName name="_xlnm._FilterDatabase" localSheetId="0" hidden="1">Sumario!$AD$1:$AG$41</definedName>
  </definedNames>
  <calcPr calcId="191029"/>
  <extLst>
    <ext uri="GoogleSheetsCustomDataVersion1">
      <go:sheetsCustomData xmlns:go="http://customooxmlschemas.google.com/" r:id="rId16" roundtripDataSignature="AMtx7mgaMZa1/gvsuELZ0OVS5jq0pL8g/Q=="/>
    </ext>
  </extLst>
</workbook>
</file>

<file path=xl/calcChain.xml><?xml version="1.0" encoding="utf-8"?>
<calcChain xmlns="http://schemas.openxmlformats.org/spreadsheetml/2006/main">
  <c r="AO8" i="10" l="1"/>
  <c r="AP8" i="10"/>
  <c r="AQ8" i="10"/>
  <c r="AO9" i="10"/>
  <c r="AO10" i="10" s="1"/>
  <c r="AO11" i="10" s="1"/>
  <c r="AO12" i="10" s="1"/>
  <c r="AO13" i="10" s="1"/>
  <c r="AO14" i="10" s="1"/>
  <c r="AO15" i="10" s="1"/>
  <c r="AO16" i="10" s="1"/>
  <c r="AO17" i="10" s="1"/>
  <c r="AO18" i="10" s="1"/>
  <c r="AO19" i="10" s="1"/>
  <c r="AP9" i="10"/>
  <c r="AP10" i="10" s="1"/>
  <c r="AP11" i="10" s="1"/>
  <c r="AP12" i="10" s="1"/>
  <c r="AP13" i="10" s="1"/>
  <c r="AP14" i="10" s="1"/>
  <c r="AP15" i="10" s="1"/>
  <c r="AP16" i="10" s="1"/>
  <c r="AP17" i="10" s="1"/>
  <c r="AP18" i="10" s="1"/>
  <c r="AP19" i="10" s="1"/>
  <c r="AQ9" i="10"/>
  <c r="AQ10" i="10" s="1"/>
  <c r="AQ11" i="10" s="1"/>
  <c r="AQ12" i="10" s="1"/>
  <c r="AQ13" i="10" s="1"/>
  <c r="AQ14" i="10" s="1"/>
  <c r="AQ15" i="10" s="1"/>
  <c r="AQ16" i="10" s="1"/>
  <c r="AQ17" i="10" s="1"/>
  <c r="AQ18" i="10" s="1"/>
  <c r="AQ19" i="10" s="1"/>
  <c r="BG7" i="10" l="1"/>
  <c r="BG8" i="10"/>
  <c r="BG6" i="10"/>
  <c r="BF7" i="10"/>
  <c r="BF8" i="10"/>
  <c r="BF6" i="10"/>
  <c r="AQ6" i="10"/>
  <c r="BI6" i="10" s="1"/>
  <c r="AO6" i="10"/>
  <c r="AO7" i="10"/>
  <c r="BH6" i="9" l="1"/>
  <c r="BI6" i="9"/>
  <c r="BJ6" i="9"/>
  <c r="BH7" i="9"/>
  <c r="BI7" i="9"/>
  <c r="BJ7" i="9"/>
  <c r="BH8" i="9"/>
  <c r="BI8" i="9"/>
  <c r="BJ8" i="9"/>
  <c r="BG7" i="9"/>
  <c r="BG8" i="9"/>
  <c r="BG6" i="9"/>
  <c r="BF7" i="9"/>
  <c r="BF8" i="9"/>
  <c r="BF6" i="9"/>
  <c r="BH6" i="6"/>
  <c r="BI6" i="6"/>
  <c r="BH7" i="6"/>
  <c r="BI7" i="6"/>
  <c r="BH8" i="6"/>
  <c r="BG7" i="6"/>
  <c r="BG8" i="6"/>
  <c r="BG6" i="6"/>
  <c r="BF7" i="6"/>
  <c r="BF8" i="6"/>
  <c r="BF6" i="6"/>
  <c r="BH6" i="8"/>
  <c r="BI6" i="8"/>
  <c r="BJ6" i="8"/>
  <c r="BH7" i="8"/>
  <c r="BI7" i="8"/>
  <c r="BJ7" i="8"/>
  <c r="BH8" i="8"/>
  <c r="BI8" i="8"/>
  <c r="BJ8" i="8"/>
  <c r="BG7" i="8"/>
  <c r="BG8" i="8"/>
  <c r="BH6" i="3"/>
  <c r="BI6" i="3"/>
  <c r="BJ6" i="3"/>
  <c r="BH7" i="3"/>
  <c r="BI7" i="3"/>
  <c r="BJ7" i="3"/>
  <c r="BH8" i="3"/>
  <c r="BI8" i="3"/>
  <c r="BJ8" i="3"/>
  <c r="BG7" i="3"/>
  <c r="BG8" i="3"/>
  <c r="BG6" i="3"/>
  <c r="BF8" i="3"/>
  <c r="BF7" i="3"/>
  <c r="BF6" i="3"/>
  <c r="AO48" i="3"/>
  <c r="AP48" i="3"/>
  <c r="AQ48" i="3"/>
  <c r="AR48" i="3"/>
  <c r="A3" i="10" l="1"/>
  <c r="I29" i="10"/>
  <c r="E26" i="10"/>
  <c r="E25" i="10"/>
  <c r="G23" i="10"/>
  <c r="G22" i="10"/>
  <c r="G20" i="10"/>
  <c r="G19" i="10"/>
  <c r="G18" i="10"/>
  <c r="G16" i="10"/>
  <c r="G15" i="10"/>
  <c r="G14" i="10"/>
  <c r="G13" i="10"/>
  <c r="G12" i="10"/>
  <c r="G11" i="10"/>
  <c r="G10" i="10"/>
  <c r="G9" i="10"/>
  <c r="G8" i="10"/>
  <c r="AK4" i="10"/>
  <c r="AG4" i="10"/>
  <c r="AC4" i="10"/>
  <c r="Y4" i="10"/>
  <c r="U4" i="10"/>
  <c r="Q4" i="10"/>
  <c r="A2" i="10"/>
  <c r="M4" i="10"/>
  <c r="I4" i="10"/>
  <c r="E4" i="10"/>
  <c r="A4" i="10"/>
  <c r="AZ19" i="10"/>
  <c r="AZ18" i="10"/>
  <c r="AZ17" i="10"/>
  <c r="AZ16" i="10"/>
  <c r="AZ15" i="10"/>
  <c r="AZ14" i="10"/>
  <c r="AZ13" i="10"/>
  <c r="AZ12" i="10"/>
  <c r="AZ11" i="10"/>
  <c r="AZ10" i="10"/>
  <c r="AZ9" i="10"/>
  <c r="AZ8" i="10"/>
  <c r="AZ7" i="10"/>
  <c r="AQ7" i="10"/>
  <c r="AZ6" i="10"/>
  <c r="AR6" i="10"/>
  <c r="BJ6" i="10" s="1"/>
  <c r="AP6" i="10"/>
  <c r="Q42" i="1"/>
  <c r="AJ42" i="1"/>
  <c r="N42" i="1" s="1"/>
  <c r="P42" i="1"/>
  <c r="AR42" i="1"/>
  <c r="AO42" i="1" s="1"/>
  <c r="Q29" i="1"/>
  <c r="Q25" i="1"/>
  <c r="Q12" i="1"/>
  <c r="AR7" i="10" l="1"/>
  <c r="BI7" i="10"/>
  <c r="AP7" i="10"/>
  <c r="BH6" i="10"/>
  <c r="G21" i="10"/>
  <c r="J18" i="10" s="1"/>
  <c r="J8" i="10"/>
  <c r="T42" i="1"/>
  <c r="S42" i="1"/>
  <c r="AL42" i="1"/>
  <c r="V42" i="1"/>
  <c r="X42" i="1" s="1"/>
  <c r="O42" i="1"/>
  <c r="AA42" i="1"/>
  <c r="AT42" i="1"/>
  <c r="BG6" i="8"/>
  <c r="AR8" i="10" l="1"/>
  <c r="BJ7" i="10"/>
  <c r="BI8" i="10"/>
  <c r="BH7" i="10"/>
  <c r="R42" i="1"/>
  <c r="U42" i="1"/>
  <c r="W42" i="1" s="1"/>
  <c r="Y42" i="1"/>
  <c r="AB42" i="1" s="1"/>
  <c r="AZ7" i="9"/>
  <c r="AZ8" i="9"/>
  <c r="AZ9" i="9"/>
  <c r="AZ10" i="9"/>
  <c r="AZ11" i="9"/>
  <c r="AZ12" i="9"/>
  <c r="AZ13" i="9"/>
  <c r="AZ14" i="9"/>
  <c r="AZ15" i="9"/>
  <c r="AZ16" i="9"/>
  <c r="AZ17" i="9"/>
  <c r="AZ18" i="9"/>
  <c r="AZ19" i="9"/>
  <c r="AZ6" i="9"/>
  <c r="AR9" i="10" l="1"/>
  <c r="AR10" i="10" s="1"/>
  <c r="AR11" i="10" s="1"/>
  <c r="AR12" i="10" s="1"/>
  <c r="AR13" i="10" s="1"/>
  <c r="AR14" i="10" s="1"/>
  <c r="AR15" i="10" s="1"/>
  <c r="AR16" i="10" s="1"/>
  <c r="AR17" i="10" s="1"/>
  <c r="AR18" i="10" s="1"/>
  <c r="AR19" i="10" s="1"/>
  <c r="BJ8" i="10"/>
  <c r="BH8" i="10"/>
  <c r="I29" i="9"/>
  <c r="E26" i="9"/>
  <c r="E25" i="9"/>
  <c r="G23" i="9"/>
  <c r="G22" i="9"/>
  <c r="G20" i="9"/>
  <c r="G19" i="9"/>
  <c r="G18" i="9"/>
  <c r="AO17" i="9"/>
  <c r="AO18" i="9" s="1"/>
  <c r="AO19" i="9" s="1"/>
  <c r="G16" i="9"/>
  <c r="G15" i="9"/>
  <c r="G14" i="9"/>
  <c r="G12" i="9"/>
  <c r="G11" i="9"/>
  <c r="G10" i="9"/>
  <c r="G9" i="9"/>
  <c r="G8" i="9"/>
  <c r="AR7" i="9"/>
  <c r="AR8" i="9" s="1"/>
  <c r="AR9" i="9" s="1"/>
  <c r="AR10" i="9" s="1"/>
  <c r="AR11" i="9" s="1"/>
  <c r="AR12" i="9" s="1"/>
  <c r="AR13" i="9" s="1"/>
  <c r="AR14" i="9" s="1"/>
  <c r="AR15" i="9" s="1"/>
  <c r="AR16" i="9" s="1"/>
  <c r="AR17" i="9" s="1"/>
  <c r="AR18" i="9" s="1"/>
  <c r="AR19" i="9" s="1"/>
  <c r="AP7" i="9"/>
  <c r="AP8" i="9" s="1"/>
  <c r="AP9" i="9" s="1"/>
  <c r="AP10" i="9" s="1"/>
  <c r="AP11" i="9" s="1"/>
  <c r="AP12" i="9" s="1"/>
  <c r="AP13" i="9" s="1"/>
  <c r="AP14" i="9" s="1"/>
  <c r="AP15" i="9" s="1"/>
  <c r="AP16" i="9" s="1"/>
  <c r="AP17" i="9" s="1"/>
  <c r="AP18" i="9" s="1"/>
  <c r="AP19" i="9" s="1"/>
  <c r="AR6" i="9"/>
  <c r="AQ6" i="9"/>
  <c r="AQ7" i="9" s="1"/>
  <c r="AQ8" i="9" s="1"/>
  <c r="AQ9" i="9" s="1"/>
  <c r="AQ10" i="9" s="1"/>
  <c r="AQ11" i="9" s="1"/>
  <c r="AQ12" i="9" s="1"/>
  <c r="AQ13" i="9" s="1"/>
  <c r="AQ14" i="9" s="1"/>
  <c r="AQ15" i="9" s="1"/>
  <c r="AQ16" i="9" s="1"/>
  <c r="AQ17" i="9" s="1"/>
  <c r="AQ18" i="9" s="1"/>
  <c r="AQ19" i="9" s="1"/>
  <c r="AP6" i="9"/>
  <c r="AO6" i="9"/>
  <c r="AO7" i="9" s="1"/>
  <c r="AO8" i="9" s="1"/>
  <c r="AO9" i="9" s="1"/>
  <c r="AO10" i="9" s="1"/>
  <c r="AO11" i="9" s="1"/>
  <c r="AO12" i="9" s="1"/>
  <c r="AO13" i="9" s="1"/>
  <c r="AO14" i="9" s="1"/>
  <c r="AO15" i="9" s="1"/>
  <c r="AG4" i="9"/>
  <c r="AC4" i="9"/>
  <c r="Y4" i="9"/>
  <c r="A3" i="9"/>
  <c r="A2" i="9"/>
  <c r="AO8" i="3"/>
  <c r="AP8" i="3"/>
  <c r="AP9" i="3" s="1"/>
  <c r="AP10" i="3" s="1"/>
  <c r="AP11" i="3" s="1"/>
  <c r="AP12" i="3" s="1"/>
  <c r="AP13" i="3" s="1"/>
  <c r="AP14" i="3" s="1"/>
  <c r="AP15" i="3" s="1"/>
  <c r="AP16" i="3" s="1"/>
  <c r="AP17" i="3" s="1"/>
  <c r="AP18" i="3" s="1"/>
  <c r="AP19" i="3" s="1"/>
  <c r="AP20" i="3" s="1"/>
  <c r="AP21" i="3" s="1"/>
  <c r="AP22" i="3" s="1"/>
  <c r="AP23" i="3" s="1"/>
  <c r="AP24" i="3" s="1"/>
  <c r="AP25" i="3" s="1"/>
  <c r="AP26" i="3" s="1"/>
  <c r="AP27" i="3" s="1"/>
  <c r="AP28" i="3" s="1"/>
  <c r="AP29" i="3" s="1"/>
  <c r="AP30" i="3" s="1"/>
  <c r="AP31" i="3" s="1"/>
  <c r="AP32" i="3" s="1"/>
  <c r="AP33" i="3" s="1"/>
  <c r="AP34" i="3" s="1"/>
  <c r="AP35" i="3" s="1"/>
  <c r="AP36" i="3" s="1"/>
  <c r="AP37" i="3" s="1"/>
  <c r="AP38" i="3" s="1"/>
  <c r="AP39" i="3" s="1"/>
  <c r="AP40" i="3" s="1"/>
  <c r="AP41" i="3" s="1"/>
  <c r="AP42" i="3" s="1"/>
  <c r="AP43" i="3" s="1"/>
  <c r="AP44" i="3" s="1"/>
  <c r="AP45" i="3" s="1"/>
  <c r="AP46" i="3" s="1"/>
  <c r="AP47" i="3" s="1"/>
  <c r="AQ8" i="3"/>
  <c r="AR8" i="3"/>
  <c r="AO9" i="3"/>
  <c r="AO10" i="3" s="1"/>
  <c r="AO11" i="3" s="1"/>
  <c r="AO12" i="3" s="1"/>
  <c r="AO13" i="3" s="1"/>
  <c r="AO14" i="3" s="1"/>
  <c r="AO15" i="3" s="1"/>
  <c r="AO17" i="3" s="1"/>
  <c r="AO18" i="3" s="1"/>
  <c r="AO19" i="3" s="1"/>
  <c r="AO20" i="3" s="1"/>
  <c r="AO21" i="3" s="1"/>
  <c r="AO22" i="3" s="1"/>
  <c r="AO23" i="3" s="1"/>
  <c r="AO24" i="3" s="1"/>
  <c r="AO25" i="3" s="1"/>
  <c r="AO26" i="3" s="1"/>
  <c r="AO27" i="3" s="1"/>
  <c r="AO28" i="3" s="1"/>
  <c r="AO29" i="3" s="1"/>
  <c r="AO30" i="3" s="1"/>
  <c r="AO31" i="3" s="1"/>
  <c r="AO32" i="3" s="1"/>
  <c r="AO33" i="3" s="1"/>
  <c r="AO34" i="3" s="1"/>
  <c r="AO35" i="3" s="1"/>
  <c r="AO36" i="3" s="1"/>
  <c r="AO37" i="3" s="1"/>
  <c r="AO38" i="3" s="1"/>
  <c r="AO39" i="3" s="1"/>
  <c r="AO40" i="3" s="1"/>
  <c r="AO41" i="3" s="1"/>
  <c r="AO42" i="3" s="1"/>
  <c r="AO43" i="3" s="1"/>
  <c r="AO44" i="3" s="1"/>
  <c r="AO45" i="3" s="1"/>
  <c r="AO46" i="3" s="1"/>
  <c r="AO47" i="3" s="1"/>
  <c r="AQ9" i="3"/>
  <c r="AQ10" i="3" s="1"/>
  <c r="AQ11" i="3" s="1"/>
  <c r="AQ12" i="3" s="1"/>
  <c r="AQ13" i="3" s="1"/>
  <c r="AQ14" i="3" s="1"/>
  <c r="AQ15" i="3" s="1"/>
  <c r="AQ16" i="3" s="1"/>
  <c r="AQ17" i="3" s="1"/>
  <c r="AQ18" i="3" s="1"/>
  <c r="AQ19" i="3" s="1"/>
  <c r="AQ20" i="3" s="1"/>
  <c r="AQ21" i="3" s="1"/>
  <c r="AQ22" i="3" s="1"/>
  <c r="AQ23" i="3" s="1"/>
  <c r="AQ24" i="3" s="1"/>
  <c r="AQ25" i="3" s="1"/>
  <c r="AQ26" i="3" s="1"/>
  <c r="AQ27" i="3" s="1"/>
  <c r="AQ28" i="3" s="1"/>
  <c r="AQ29" i="3" s="1"/>
  <c r="AQ30" i="3" s="1"/>
  <c r="AQ31" i="3" s="1"/>
  <c r="AQ32" i="3" s="1"/>
  <c r="AQ33" i="3" s="1"/>
  <c r="AQ34" i="3" s="1"/>
  <c r="AQ35" i="3" s="1"/>
  <c r="AQ36" i="3" s="1"/>
  <c r="AQ37" i="3" s="1"/>
  <c r="AQ38" i="3" s="1"/>
  <c r="AQ39" i="3" s="1"/>
  <c r="AQ40" i="3" s="1"/>
  <c r="AQ41" i="3" s="1"/>
  <c r="AQ42" i="3" s="1"/>
  <c r="AQ43" i="3" s="1"/>
  <c r="AQ44" i="3" s="1"/>
  <c r="AQ45" i="3" s="1"/>
  <c r="AQ46" i="3" s="1"/>
  <c r="AQ47" i="3" s="1"/>
  <c r="AR9" i="3"/>
  <c r="AR10" i="3" s="1"/>
  <c r="AR11" i="3" s="1"/>
  <c r="AR12" i="3" s="1"/>
  <c r="AR13" i="3" s="1"/>
  <c r="AR14" i="3" s="1"/>
  <c r="AR15" i="3" s="1"/>
  <c r="AR16" i="3" s="1"/>
  <c r="AR17" i="3" s="1"/>
  <c r="AR18" i="3" s="1"/>
  <c r="AR19" i="3" s="1"/>
  <c r="AR20" i="3" s="1"/>
  <c r="AR21" i="3" s="1"/>
  <c r="AR22" i="3" s="1"/>
  <c r="AR23" i="3" s="1"/>
  <c r="AR24" i="3" s="1"/>
  <c r="AR25" i="3" s="1"/>
  <c r="AR26" i="3" s="1"/>
  <c r="AR27" i="3" s="1"/>
  <c r="AR28" i="3" s="1"/>
  <c r="AR29" i="3" s="1"/>
  <c r="AR30" i="3" s="1"/>
  <c r="AR31" i="3" s="1"/>
  <c r="AR32" i="3" s="1"/>
  <c r="AR33" i="3" s="1"/>
  <c r="AR34" i="3" s="1"/>
  <c r="AR35" i="3" s="1"/>
  <c r="AR36" i="3" s="1"/>
  <c r="AR37" i="3" s="1"/>
  <c r="AR38" i="3" s="1"/>
  <c r="AR39" i="3" s="1"/>
  <c r="AR40" i="3" s="1"/>
  <c r="AR41" i="3" s="1"/>
  <c r="AR42" i="3" s="1"/>
  <c r="AR43" i="3" s="1"/>
  <c r="AR44" i="3" s="1"/>
  <c r="AR45" i="3" s="1"/>
  <c r="AR46" i="3" s="1"/>
  <c r="AR47" i="3" s="1"/>
  <c r="AO7" i="3"/>
  <c r="AQ6" i="3"/>
  <c r="AQ7" i="3" s="1"/>
  <c r="G21" i="9" l="1"/>
  <c r="J18" i="9" s="1"/>
  <c r="Q26" i="1" l="1"/>
  <c r="Q24" i="1"/>
  <c r="Q23" i="1"/>
  <c r="Q22" i="1"/>
  <c r="Q21" i="1"/>
  <c r="Q20" i="1"/>
  <c r="Q19" i="1"/>
  <c r="Q18" i="1"/>
  <c r="Q17" i="1"/>
  <c r="Q16" i="1"/>
  <c r="Q15" i="1"/>
  <c r="Q14" i="1"/>
  <c r="Q8" i="1"/>
  <c r="I29" i="8" l="1"/>
  <c r="E26" i="8"/>
  <c r="E25" i="8"/>
  <c r="G23" i="8"/>
  <c r="G22" i="8"/>
  <c r="G20" i="8"/>
  <c r="G19" i="8"/>
  <c r="G18" i="8"/>
  <c r="G16" i="8"/>
  <c r="G15" i="8"/>
  <c r="G14" i="8"/>
  <c r="G12" i="8"/>
  <c r="G11" i="8"/>
  <c r="G10" i="8"/>
  <c r="G9" i="8"/>
  <c r="G8" i="8"/>
  <c r="AR6" i="8"/>
  <c r="AR7" i="8" s="1"/>
  <c r="AR8" i="8" s="1"/>
  <c r="AR9" i="8" s="1"/>
  <c r="AR10" i="8" s="1"/>
  <c r="AR11" i="8" s="1"/>
  <c r="AR12" i="8" s="1"/>
  <c r="AQ6" i="8"/>
  <c r="AQ7" i="8" s="1"/>
  <c r="AQ8" i="8" s="1"/>
  <c r="AQ9" i="8" s="1"/>
  <c r="AQ10" i="8" s="1"/>
  <c r="AQ11" i="8" s="1"/>
  <c r="AQ12" i="8" s="1"/>
  <c r="AP6" i="8"/>
  <c r="AP7" i="8" s="1"/>
  <c r="AP8" i="8" s="1"/>
  <c r="AP9" i="8" s="1"/>
  <c r="AP10" i="8" s="1"/>
  <c r="AP11" i="8" s="1"/>
  <c r="AP12" i="8" s="1"/>
  <c r="AO6" i="8"/>
  <c r="AO7" i="8" s="1"/>
  <c r="AO8" i="8" s="1"/>
  <c r="AO9" i="8" s="1"/>
  <c r="AO10" i="8" s="1"/>
  <c r="AO11" i="8" s="1"/>
  <c r="AO12" i="8" s="1"/>
  <c r="AG4" i="8"/>
  <c r="AC4" i="8"/>
  <c r="Y4" i="8"/>
  <c r="A3" i="8"/>
  <c r="A2" i="8"/>
  <c r="G21" i="8" l="1"/>
  <c r="J18" i="8" s="1"/>
  <c r="AP13" i="8"/>
  <c r="AR13" i="8"/>
  <c r="AO13" i="8"/>
  <c r="AQ13" i="8"/>
  <c r="Q35" i="1"/>
  <c r="AO14" i="8" l="1"/>
  <c r="AQ14" i="8"/>
  <c r="AR14" i="8"/>
  <c r="AP14" i="8"/>
  <c r="AR29" i="1"/>
  <c r="G13" i="9" s="1"/>
  <c r="J8" i="9" s="1"/>
  <c r="AJ29" i="1"/>
  <c r="AL29" i="1" s="1"/>
  <c r="AR15" i="8" l="1"/>
  <c r="AR16" i="8" s="1"/>
  <c r="AQ15" i="8"/>
  <c r="AQ16" i="8" s="1"/>
  <c r="AO15" i="8"/>
  <c r="AO16" i="8" s="1"/>
  <c r="AP15" i="8"/>
  <c r="AP16" i="8" s="1"/>
  <c r="Q13" i="1" l="1"/>
  <c r="AU8" i="6" l="1"/>
  <c r="AV7" i="6"/>
  <c r="AV8" i="6" l="1"/>
  <c r="AU9" i="6"/>
  <c r="AV9" i="6" l="1"/>
  <c r="AU10" i="6"/>
  <c r="AU11" i="6" l="1"/>
  <c r="AV10" i="6"/>
  <c r="AU12" i="6" l="1"/>
  <c r="AX11" i="6"/>
  <c r="AV11" i="6"/>
  <c r="AX12" i="6" l="1"/>
  <c r="AV12" i="6"/>
  <c r="I29" i="6" l="1"/>
  <c r="E26" i="6"/>
  <c r="E25" i="6"/>
  <c r="G23" i="6"/>
  <c r="G22" i="6"/>
  <c r="G20" i="6"/>
  <c r="G19" i="6"/>
  <c r="G18" i="6"/>
  <c r="G16" i="6"/>
  <c r="G15" i="6"/>
  <c r="G14" i="6"/>
  <c r="G12" i="6"/>
  <c r="G11" i="6"/>
  <c r="G10" i="6"/>
  <c r="G9" i="6"/>
  <c r="G8" i="6"/>
  <c r="AR6" i="6"/>
  <c r="AQ6" i="6"/>
  <c r="AP6" i="6"/>
  <c r="AP7" i="6" s="1"/>
  <c r="AP8" i="6" s="1"/>
  <c r="AP9" i="6" s="1"/>
  <c r="AP10" i="6" s="1"/>
  <c r="AP11" i="6" s="1"/>
  <c r="AP12" i="6" s="1"/>
  <c r="AP13" i="6" s="1"/>
  <c r="AP14" i="6" s="1"/>
  <c r="AP15" i="6" s="1"/>
  <c r="AP16" i="6" s="1"/>
  <c r="AP17" i="6" s="1"/>
  <c r="AP18" i="6" s="1"/>
  <c r="AP19" i="6" s="1"/>
  <c r="AP20" i="6" s="1"/>
  <c r="AP21" i="6" s="1"/>
  <c r="AP22" i="6" s="1"/>
  <c r="AP23" i="6" s="1"/>
  <c r="AP24" i="6" s="1"/>
  <c r="AP25" i="6" s="1"/>
  <c r="AP26" i="6" s="1"/>
  <c r="AP27" i="6" s="1"/>
  <c r="AP28" i="6" s="1"/>
  <c r="AP29" i="6" s="1"/>
  <c r="AP30" i="6" s="1"/>
  <c r="AP31" i="6" s="1"/>
  <c r="AP32" i="6" s="1"/>
  <c r="AP33" i="6" s="1"/>
  <c r="AP34" i="6" s="1"/>
  <c r="AP35" i="6" s="1"/>
  <c r="AP36" i="6" s="1"/>
  <c r="AP37" i="6" s="1"/>
  <c r="AP38" i="6" s="1"/>
  <c r="AP39" i="6" s="1"/>
  <c r="AP40" i="6" s="1"/>
  <c r="AP41" i="6" s="1"/>
  <c r="AO6" i="6"/>
  <c r="AO7" i="6" s="1"/>
  <c r="AO8" i="6" s="1"/>
  <c r="AO9" i="6" s="1"/>
  <c r="AO10" i="6" s="1"/>
  <c r="AO11" i="6" s="1"/>
  <c r="AO12" i="6" s="1"/>
  <c r="AO13" i="6" s="1"/>
  <c r="AO14" i="6" s="1"/>
  <c r="AO15" i="6" s="1"/>
  <c r="AO16" i="6" s="1"/>
  <c r="AO17" i="6" s="1"/>
  <c r="AO18" i="6" s="1"/>
  <c r="AO19" i="6" s="1"/>
  <c r="AO20" i="6" s="1"/>
  <c r="AO21" i="6" s="1"/>
  <c r="AO22" i="6" s="1"/>
  <c r="AO23" i="6" s="1"/>
  <c r="AO24" i="6" s="1"/>
  <c r="AO25" i="6" s="1"/>
  <c r="AO26" i="6" s="1"/>
  <c r="AO27" i="6" s="1"/>
  <c r="AO28" i="6" s="1"/>
  <c r="AO29" i="6" s="1"/>
  <c r="AO30" i="6" s="1"/>
  <c r="AO31" i="6" s="1"/>
  <c r="AO32" i="6" s="1"/>
  <c r="AO33" i="6" s="1"/>
  <c r="AO34" i="6" s="1"/>
  <c r="AO35" i="6" s="1"/>
  <c r="AO36" i="6" s="1"/>
  <c r="AO37" i="6" s="1"/>
  <c r="AO38" i="6" s="1"/>
  <c r="AO39" i="6" s="1"/>
  <c r="AO40" i="6" s="1"/>
  <c r="AO41" i="6" s="1"/>
  <c r="AK4" i="6"/>
  <c r="AG4" i="6"/>
  <c r="AC4" i="6"/>
  <c r="Y4" i="6"/>
  <c r="A3" i="6"/>
  <c r="A2" i="6"/>
  <c r="AR7" i="6" l="1"/>
  <c r="BJ6" i="6" s="1"/>
  <c r="AQ7" i="6"/>
  <c r="G21" i="6"/>
  <c r="J18" i="6" s="1"/>
  <c r="AP42" i="6"/>
  <c r="AO42" i="6"/>
  <c r="AR8" i="6" l="1"/>
  <c r="BJ7" i="6" s="1"/>
  <c r="AQ8" i="6"/>
  <c r="AO43" i="6"/>
  <c r="AP43" i="6"/>
  <c r="AR9" i="6" l="1"/>
  <c r="AQ9" i="6"/>
  <c r="P35" i="1"/>
  <c r="Z35" i="1" s="1"/>
  <c r="AR35" i="1"/>
  <c r="AJ35" i="1"/>
  <c r="N35" i="1" s="1"/>
  <c r="AR3" i="1"/>
  <c r="AR4" i="1"/>
  <c r="AR5" i="1"/>
  <c r="AR6" i="1"/>
  <c r="AR7" i="1"/>
  <c r="AR8" i="1"/>
  <c r="AR9" i="1"/>
  <c r="G13" i="8" s="1"/>
  <c r="J8" i="8" s="1"/>
  <c r="AR10" i="1"/>
  <c r="AR11" i="1"/>
  <c r="AR12" i="1"/>
  <c r="AR13" i="1"/>
  <c r="AR14" i="1"/>
  <c r="AR15" i="1"/>
  <c r="AR16" i="1"/>
  <c r="AR17" i="1"/>
  <c r="AR19" i="1"/>
  <c r="AR20" i="1"/>
  <c r="AR21" i="1"/>
  <c r="AR23" i="1"/>
  <c r="AR24" i="1"/>
  <c r="AR25" i="1"/>
  <c r="G13" i="6" s="1"/>
  <c r="J8" i="6" s="1"/>
  <c r="AR2" i="1"/>
  <c r="AQ10" i="6" l="1"/>
  <c r="AQ11" i="6" s="1"/>
  <c r="AQ12" i="6" s="1"/>
  <c r="AQ13" i="6" s="1"/>
  <c r="AQ14" i="6" s="1"/>
  <c r="AQ15" i="6" s="1"/>
  <c r="AQ16" i="6" s="1"/>
  <c r="AQ17" i="6" s="1"/>
  <c r="AQ18" i="6" s="1"/>
  <c r="AQ19" i="6" s="1"/>
  <c r="AQ20" i="6" s="1"/>
  <c r="AQ21" i="6" s="1"/>
  <c r="AQ22" i="6" s="1"/>
  <c r="AQ23" i="6" s="1"/>
  <c r="AQ24" i="6" s="1"/>
  <c r="AQ25" i="6" s="1"/>
  <c r="AQ26" i="6" s="1"/>
  <c r="AQ27" i="6" s="1"/>
  <c r="AQ28" i="6" s="1"/>
  <c r="AQ29" i="6" s="1"/>
  <c r="AQ30" i="6" s="1"/>
  <c r="AQ31" i="6" s="1"/>
  <c r="AQ32" i="6" s="1"/>
  <c r="AQ33" i="6" s="1"/>
  <c r="AQ34" i="6" s="1"/>
  <c r="AQ35" i="6" s="1"/>
  <c r="AQ36" i="6" s="1"/>
  <c r="AQ37" i="6" s="1"/>
  <c r="AQ38" i="6" s="1"/>
  <c r="AQ39" i="6" s="1"/>
  <c r="AQ40" i="6" s="1"/>
  <c r="AQ41" i="6" s="1"/>
  <c r="AQ42" i="6" s="1"/>
  <c r="AQ43" i="6" s="1"/>
  <c r="BI8" i="6"/>
  <c r="AR10" i="6"/>
  <c r="AR11" i="6" s="1"/>
  <c r="AR12" i="6" s="1"/>
  <c r="AR13" i="6" s="1"/>
  <c r="AR14" i="6" s="1"/>
  <c r="AR15" i="6" s="1"/>
  <c r="AR16" i="6" s="1"/>
  <c r="AR17" i="6" s="1"/>
  <c r="AR18" i="6" s="1"/>
  <c r="AR19" i="6" s="1"/>
  <c r="AR20" i="6" s="1"/>
  <c r="AR21" i="6" s="1"/>
  <c r="AR22" i="6" s="1"/>
  <c r="AR23" i="6" s="1"/>
  <c r="AR24" i="6" s="1"/>
  <c r="AR25" i="6" s="1"/>
  <c r="AR26" i="6" s="1"/>
  <c r="AR27" i="6" s="1"/>
  <c r="AR28" i="6" s="1"/>
  <c r="AR29" i="6" s="1"/>
  <c r="AR30" i="6" s="1"/>
  <c r="AR31" i="6" s="1"/>
  <c r="AR32" i="6" s="1"/>
  <c r="AR33" i="6" s="1"/>
  <c r="AR34" i="6" s="1"/>
  <c r="AR35" i="6" s="1"/>
  <c r="AR36" i="6" s="1"/>
  <c r="AR37" i="6" s="1"/>
  <c r="AR38" i="6" s="1"/>
  <c r="AR39" i="6" s="1"/>
  <c r="AR40" i="6" s="1"/>
  <c r="AR41" i="6" s="1"/>
  <c r="AR42" i="6" s="1"/>
  <c r="AR43" i="6" s="1"/>
  <c r="BJ8" i="6"/>
  <c r="O35" i="1"/>
  <c r="AO35" i="1"/>
  <c r="AT35" i="1"/>
  <c r="T35" i="1"/>
  <c r="V35" i="1"/>
  <c r="S35" i="1"/>
  <c r="AA35" i="1"/>
  <c r="A3" i="3"/>
  <c r="G8" i="3"/>
  <c r="Q7" i="1"/>
  <c r="R35" i="1" l="1"/>
  <c r="U35" i="1"/>
  <c r="Y35" i="1"/>
  <c r="AB35" i="1"/>
  <c r="W35" i="1"/>
  <c r="X35" i="1"/>
  <c r="Q6" i="1" l="1"/>
  <c r="Q4" i="1"/>
  <c r="Q2" i="1" l="1"/>
  <c r="Q5" i="1" l="1"/>
  <c r="AO3" i="1"/>
  <c r="AT4" i="1"/>
  <c r="AO5" i="1"/>
  <c r="AO6" i="1"/>
  <c r="AO8" i="1"/>
  <c r="AT9" i="1"/>
  <c r="AO10" i="1"/>
  <c r="AO11" i="1"/>
  <c r="AT12" i="1"/>
  <c r="AT13" i="1"/>
  <c r="AO14" i="1"/>
  <c r="AO15" i="1"/>
  <c r="AO16" i="1"/>
  <c r="AO17" i="1"/>
  <c r="AO19" i="1"/>
  <c r="AT20" i="1"/>
  <c r="AT21" i="1"/>
  <c r="AT23" i="1"/>
  <c r="AT24" i="1"/>
  <c r="AT25" i="1"/>
  <c r="AT2" i="1"/>
  <c r="AJ3" i="1"/>
  <c r="AL3" i="1" s="1"/>
  <c r="AJ4" i="1"/>
  <c r="AL4" i="1" s="1"/>
  <c r="AJ5" i="1"/>
  <c r="AL5" i="1" s="1"/>
  <c r="AJ6" i="1"/>
  <c r="AL6" i="1" s="1"/>
  <c r="AJ7" i="1"/>
  <c r="AL7" i="1" s="1"/>
  <c r="AJ8" i="1"/>
  <c r="AL8" i="1" s="1"/>
  <c r="AJ9" i="1"/>
  <c r="AL9" i="1" s="1"/>
  <c r="AJ10" i="1"/>
  <c r="AL10" i="1" s="1"/>
  <c r="AJ11" i="1"/>
  <c r="AL11" i="1" s="1"/>
  <c r="AJ12" i="1"/>
  <c r="AL12" i="1" s="1"/>
  <c r="AJ13" i="1"/>
  <c r="AL13" i="1" s="1"/>
  <c r="AJ14" i="1"/>
  <c r="AL14" i="1" s="1"/>
  <c r="AJ15" i="1"/>
  <c r="AL15" i="1" s="1"/>
  <c r="AJ16" i="1"/>
  <c r="AL16" i="1" s="1"/>
  <c r="AJ17" i="1"/>
  <c r="AL17" i="1" s="1"/>
  <c r="AJ18" i="1"/>
  <c r="AL18" i="1" s="1"/>
  <c r="AJ19" i="1"/>
  <c r="AL19" i="1" s="1"/>
  <c r="AJ20" i="1"/>
  <c r="AL20" i="1" s="1"/>
  <c r="AJ21" i="1"/>
  <c r="AL21" i="1" s="1"/>
  <c r="AJ22" i="1"/>
  <c r="AL22" i="1" s="1"/>
  <c r="AJ23" i="1"/>
  <c r="AL23" i="1" s="1"/>
  <c r="AJ24" i="1"/>
  <c r="AL24" i="1" s="1"/>
  <c r="AJ25" i="1"/>
  <c r="AL25" i="1" s="1"/>
  <c r="AJ27" i="1"/>
  <c r="AL27" i="1" s="1"/>
  <c r="AL28" i="1"/>
  <c r="AJ30" i="1"/>
  <c r="AL30" i="1" s="1"/>
  <c r="AJ31" i="1"/>
  <c r="AL31" i="1" s="1"/>
  <c r="AL32" i="1"/>
  <c r="AJ33" i="1"/>
  <c r="AL33" i="1" s="1"/>
  <c r="AL35" i="1"/>
  <c r="AJ37" i="1"/>
  <c r="AL37" i="1" s="1"/>
  <c r="AJ2" i="1"/>
  <c r="AL2" i="1" s="1"/>
  <c r="AO7" i="1" l="1"/>
  <c r="AO20" i="1"/>
  <c r="AO24" i="1"/>
  <c r="AO23" i="1"/>
  <c r="AO2" i="1"/>
  <c r="AO9" i="1"/>
  <c r="AT19" i="1"/>
  <c r="AT29" i="1"/>
  <c r="AO25" i="1"/>
  <c r="AO21" i="1"/>
  <c r="AT17" i="1"/>
  <c r="AT16" i="1"/>
  <c r="AT15" i="1"/>
  <c r="AT14" i="1"/>
  <c r="AO13" i="1"/>
  <c r="AO12" i="1"/>
  <c r="AT11" i="1"/>
  <c r="AT10" i="1"/>
  <c r="AT8" i="1"/>
  <c r="AT7" i="1"/>
  <c r="AT6" i="1"/>
  <c r="AT5" i="1"/>
  <c r="AO4" i="1"/>
  <c r="AT3" i="1"/>
  <c r="I29" i="3"/>
  <c r="E26" i="3"/>
  <c r="E25" i="3"/>
  <c r="G23" i="3"/>
  <c r="G11" i="3"/>
  <c r="G14" i="3"/>
  <c r="G15" i="3"/>
  <c r="G13" i="3"/>
  <c r="G22" i="3"/>
  <c r="G20" i="3"/>
  <c r="G19" i="3"/>
  <c r="G18" i="3"/>
  <c r="G16" i="3"/>
  <c r="G12" i="3"/>
  <c r="G10" i="3"/>
  <c r="G9" i="3"/>
  <c r="A2" i="3"/>
  <c r="N3" i="1" l="1"/>
  <c r="O3" i="1" s="1"/>
  <c r="P3" i="1"/>
  <c r="N4" i="1"/>
  <c r="P4" i="1"/>
  <c r="P5" i="1"/>
  <c r="N6" i="1"/>
  <c r="P6" i="1"/>
  <c r="N7" i="1"/>
  <c r="P7" i="1"/>
  <c r="N8" i="1"/>
  <c r="P8" i="1"/>
  <c r="N9" i="1"/>
  <c r="M4" i="8" s="1"/>
  <c r="P9" i="1"/>
  <c r="N10" i="1"/>
  <c r="P10" i="1"/>
  <c r="N11" i="1"/>
  <c r="P11" i="1"/>
  <c r="N12" i="1"/>
  <c r="P12" i="1"/>
  <c r="N13" i="1"/>
  <c r="P13" i="1"/>
  <c r="N14" i="1"/>
  <c r="P14" i="1"/>
  <c r="N15" i="1"/>
  <c r="P15" i="1"/>
  <c r="N16" i="1"/>
  <c r="P16" i="1"/>
  <c r="N17" i="1"/>
  <c r="P17" i="1"/>
  <c r="N19" i="1"/>
  <c r="P19" i="1"/>
  <c r="N20" i="1"/>
  <c r="P20" i="1"/>
  <c r="N21" i="1"/>
  <c r="P21" i="1"/>
  <c r="N22" i="1"/>
  <c r="P22" i="1"/>
  <c r="N23" i="1"/>
  <c r="P23" i="1"/>
  <c r="N24" i="1"/>
  <c r="P24" i="1"/>
  <c r="N25" i="1"/>
  <c r="M4" i="6" s="1"/>
  <c r="P25" i="1"/>
  <c r="P26" i="1"/>
  <c r="O27" i="1"/>
  <c r="P27" i="1"/>
  <c r="O28" i="1"/>
  <c r="P28" i="1"/>
  <c r="N29" i="1"/>
  <c r="M4" i="9" s="1"/>
  <c r="P29" i="1"/>
  <c r="P30" i="1"/>
  <c r="O31" i="1"/>
  <c r="P31" i="1"/>
  <c r="O32" i="1"/>
  <c r="P32" i="1"/>
  <c r="O33" i="1"/>
  <c r="P33" i="1"/>
  <c r="O34" i="1"/>
  <c r="P34" i="1"/>
  <c r="P36" i="1"/>
  <c r="P37" i="1"/>
  <c r="O38" i="1"/>
  <c r="P38" i="1"/>
  <c r="O39" i="1"/>
  <c r="P39" i="1"/>
  <c r="O40" i="1"/>
  <c r="P40" i="1"/>
  <c r="O41" i="1"/>
  <c r="P41" i="1"/>
  <c r="Q3" i="1"/>
  <c r="P2" i="1"/>
  <c r="N2" i="1"/>
  <c r="O2" i="1" s="1"/>
  <c r="M4" i="3" l="1"/>
  <c r="O7" i="1"/>
  <c r="O8" i="1"/>
  <c r="O12" i="1"/>
  <c r="O4" i="1"/>
  <c r="O6" i="1"/>
  <c r="O37" i="1"/>
  <c r="O36" i="1"/>
  <c r="G21" i="3" l="1"/>
  <c r="J8" i="3"/>
  <c r="AR6" i="3"/>
  <c r="AR7" i="3" s="1"/>
  <c r="AP6" i="3"/>
  <c r="AP7" i="3" s="1"/>
  <c r="AO6" i="3"/>
  <c r="V30" i="1"/>
  <c r="U30" i="1"/>
  <c r="T29" i="1"/>
  <c r="E4" i="9" s="1"/>
  <c r="R29" i="1"/>
  <c r="A4" i="9" s="1"/>
  <c r="AA29" i="1"/>
  <c r="AK4" i="9" s="1"/>
  <c r="T25" i="1"/>
  <c r="E4" i="6" s="1"/>
  <c r="R25" i="1"/>
  <c r="A4" i="6" s="1"/>
  <c r="V24" i="1"/>
  <c r="U24" i="1"/>
  <c r="AA23" i="1"/>
  <c r="V23" i="1"/>
  <c r="U23" i="1"/>
  <c r="T23" i="1"/>
  <c r="S23" i="1"/>
  <c r="R23" i="1"/>
  <c r="AA22" i="1"/>
  <c r="V22" i="1"/>
  <c r="T22" i="1"/>
  <c r="S22" i="1"/>
  <c r="U22" i="1"/>
  <c r="R22" i="1"/>
  <c r="R21" i="1"/>
  <c r="V20" i="1"/>
  <c r="U20" i="1"/>
  <c r="R20" i="1"/>
  <c r="U19" i="1"/>
  <c r="T19" i="1"/>
  <c r="V17" i="1"/>
  <c r="U17" i="1"/>
  <c r="V16" i="1"/>
  <c r="U16" i="1"/>
  <c r="R16" i="1"/>
  <c r="U15" i="1"/>
  <c r="T15" i="1"/>
  <c r="V15" i="1"/>
  <c r="AA15" i="1"/>
  <c r="U14" i="1"/>
  <c r="S14" i="1"/>
  <c r="R14" i="1"/>
  <c r="U13" i="1"/>
  <c r="W13" i="1" s="1"/>
  <c r="T13" i="1"/>
  <c r="V13" i="1"/>
  <c r="X13" i="1" s="1"/>
  <c r="AA13" i="1"/>
  <c r="Z12" i="1"/>
  <c r="V12" i="1"/>
  <c r="U12" i="1"/>
  <c r="T12" i="1"/>
  <c r="V11" i="1"/>
  <c r="U11" i="1"/>
  <c r="S11" i="1"/>
  <c r="R11" i="1"/>
  <c r="AA10" i="1"/>
  <c r="U10" i="1"/>
  <c r="S10" i="1"/>
  <c r="R10" i="1"/>
  <c r="AA9" i="1"/>
  <c r="AK4" i="8" s="1"/>
  <c r="U9" i="1"/>
  <c r="Q4" i="8" s="1"/>
  <c r="S9" i="1"/>
  <c r="I4" i="8" s="1"/>
  <c r="R9" i="1"/>
  <c r="A4" i="8" s="1"/>
  <c r="Y8" i="1"/>
  <c r="T8" i="1"/>
  <c r="R8" i="1"/>
  <c r="Z7" i="1"/>
  <c r="V7" i="1"/>
  <c r="Y7" i="1"/>
  <c r="R7" i="1"/>
  <c r="V6" i="1"/>
  <c r="X6" i="1" s="1"/>
  <c r="U6" i="1"/>
  <c r="W6" i="1" s="1"/>
  <c r="R6" i="1"/>
  <c r="N5" i="1"/>
  <c r="V5" i="1"/>
  <c r="X5" i="1" s="1"/>
  <c r="Z4" i="1"/>
  <c r="V4" i="1"/>
  <c r="X4" i="1" s="1"/>
  <c r="Y4" i="1"/>
  <c r="AB4" i="1" s="1"/>
  <c r="R4" i="1"/>
  <c r="T4" i="1"/>
  <c r="Z3" i="1"/>
  <c r="V3" i="1"/>
  <c r="U3" i="1"/>
  <c r="AA2" i="1"/>
  <c r="Z2" i="1"/>
  <c r="U2" i="1"/>
  <c r="W2" i="1" s="1"/>
  <c r="S2" i="1"/>
  <c r="R2" i="1"/>
  <c r="Y2" i="1"/>
  <c r="AB2" i="1" s="1"/>
  <c r="A4" i="3" l="1"/>
  <c r="AB7" i="1"/>
  <c r="AC4" i="3"/>
  <c r="BA37" i="3" s="1"/>
  <c r="AG4" i="3"/>
  <c r="BB37" i="3" s="1"/>
  <c r="X7" i="1"/>
  <c r="U4" i="3"/>
  <c r="J18" i="3"/>
  <c r="O5" i="1"/>
  <c r="R5" i="1" s="1"/>
  <c r="AB8" i="1"/>
  <c r="T11" i="1"/>
  <c r="T14" i="1"/>
  <c r="Z8" i="1"/>
  <c r="R17" i="1"/>
  <c r="S21" i="1"/>
  <c r="AA21" i="1"/>
  <c r="R24" i="1"/>
  <c r="S25" i="1"/>
  <c r="I4" i="6" s="1"/>
  <c r="S29" i="1"/>
  <c r="I4" i="9" s="1"/>
  <c r="X12" i="1"/>
  <c r="V2" i="1"/>
  <c r="X2" i="1" s="1"/>
  <c r="Y3" i="1"/>
  <c r="AB3" i="1" s="1"/>
  <c r="S4" i="1"/>
  <c r="AA4" i="1"/>
  <c r="Z5" i="1"/>
  <c r="Z6" i="1"/>
  <c r="S7" i="1"/>
  <c r="AA7" i="1"/>
  <c r="U8" i="1"/>
  <c r="V9" i="1"/>
  <c r="U4" i="8" s="1"/>
  <c r="V10" i="1"/>
  <c r="Y12" i="1"/>
  <c r="V14" i="1"/>
  <c r="S17" i="1"/>
  <c r="T21" i="1"/>
  <c r="S24" i="1"/>
  <c r="AA24" i="1"/>
  <c r="X3" i="1"/>
  <c r="Y6" i="1"/>
  <c r="AB6" i="1" s="1"/>
  <c r="R3" i="1"/>
  <c r="S5" i="1"/>
  <c r="AA5" i="1"/>
  <c r="S6" i="1"/>
  <c r="AA6" i="1"/>
  <c r="T7" i="1"/>
  <c r="V8" i="1"/>
  <c r="R12" i="1"/>
  <c r="Y13" i="1"/>
  <c r="AB13" i="1" s="1"/>
  <c r="S16" i="1"/>
  <c r="AA16" i="1"/>
  <c r="T17" i="1"/>
  <c r="S20" i="1"/>
  <c r="AA20" i="1"/>
  <c r="U21" i="1"/>
  <c r="T24" i="1"/>
  <c r="U25" i="1"/>
  <c r="Q4" i="6" s="1"/>
  <c r="S3" i="1"/>
  <c r="AA3" i="1"/>
  <c r="U4" i="1"/>
  <c r="W4" i="1" s="1"/>
  <c r="T5" i="1"/>
  <c r="T6" i="1"/>
  <c r="U7" i="1"/>
  <c r="S12" i="1"/>
  <c r="AA12" i="1"/>
  <c r="R13" i="1"/>
  <c r="Z13" i="1"/>
  <c r="R15" i="1"/>
  <c r="T16" i="1"/>
  <c r="R19" i="1"/>
  <c r="T20" i="1"/>
  <c r="V21" i="1"/>
  <c r="V25" i="1"/>
  <c r="U4" i="6" s="1"/>
  <c r="T3" i="1"/>
  <c r="S13" i="1"/>
  <c r="S15" i="1"/>
  <c r="S19" i="1"/>
  <c r="AA19" i="1"/>
  <c r="V29" i="1"/>
  <c r="U4" i="9" s="1"/>
  <c r="U29" i="1"/>
  <c r="Q4" i="9" s="1"/>
  <c r="T2" i="1"/>
  <c r="W3" i="1"/>
  <c r="S8" i="1"/>
  <c r="AA8" i="1"/>
  <c r="T9" i="1"/>
  <c r="E4" i="8" s="1"/>
  <c r="T10" i="1"/>
  <c r="W12" i="1"/>
  <c r="V19" i="1"/>
  <c r="E4" i="3" l="1"/>
  <c r="I4" i="3"/>
  <c r="Y4" i="3"/>
  <c r="BD37" i="3" s="1"/>
  <c r="Y5" i="1"/>
  <c r="AB5" i="1" s="1"/>
  <c r="AK4" i="3"/>
  <c r="BC37" i="3" s="1"/>
  <c r="U5" i="1"/>
  <c r="W5" i="1" s="1"/>
  <c r="W7" i="1"/>
  <c r="Q4" i="3"/>
  <c r="AB12" i="1"/>
  <c r="X8" i="1"/>
  <c r="W8" i="1"/>
</calcChain>
</file>

<file path=xl/sharedStrings.xml><?xml version="1.0" encoding="utf-8"?>
<sst xmlns="http://schemas.openxmlformats.org/spreadsheetml/2006/main" count="978" uniqueCount="331">
  <si>
    <t>No.</t>
  </si>
  <si>
    <t>INSTITUCIÓN</t>
  </si>
  <si>
    <t>PROGRAMA</t>
  </si>
  <si>
    <t>FINANCIAMIENTO</t>
  </si>
  <si>
    <t>LICITACIÓN</t>
  </si>
  <si>
    <t>PROYECTO</t>
  </si>
  <si>
    <t>TIPO</t>
  </si>
  <si>
    <t>DESCRIPCIÓN</t>
  </si>
  <si>
    <t>ADJUDICACIÓN</t>
  </si>
  <si>
    <t>CONTRATISTA / CONSULTOR</t>
  </si>
  <si>
    <t>MONTO CONTRATO</t>
  </si>
  <si>
    <t>ORDEN DE INICIO</t>
  </si>
  <si>
    <t>PLAZO CONTRACTUAL</t>
  </si>
  <si>
    <t>FECHA DE TERMINACIÓN (AUTORIZADA)</t>
  </si>
  <si>
    <t>ESTADO</t>
  </si>
  <si>
    <t>ORDEN DE MODIFICACIÓN COSTO</t>
  </si>
  <si>
    <t>MONTO AUTORIZADO FINAL  (Contrato + OM)</t>
  </si>
  <si>
    <t>REAJUSTES</t>
  </si>
  <si>
    <t>MONTO FINANCIERO FINAL (Contrato + OM + Reaj)</t>
  </si>
  <si>
    <t>PAGADO</t>
  </si>
  <si>
    <t>AVANCE PLAZO</t>
  </si>
  <si>
    <t>EVENTOS COMPENSABLES</t>
  </si>
  <si>
    <t>ORDEN DE MODIFICACIÓN PLAZO</t>
  </si>
  <si>
    <t>PLAZO FINAL</t>
  </si>
  <si>
    <t>PLAZO EJECUTADO</t>
  </si>
  <si>
    <t>PLAZO RESTANTE</t>
  </si>
  <si>
    <t>OBSERVACIONES</t>
  </si>
  <si>
    <t>UBICACIÓN</t>
  </si>
  <si>
    <t>CONAVI</t>
  </si>
  <si>
    <t>G. CONSTRUCCIÓN</t>
  </si>
  <si>
    <t>Fondo Vial</t>
  </si>
  <si>
    <t>2012LA-000056-0DI00</t>
  </si>
  <si>
    <t xml:space="preserve">Ruta No. 106 -  Diseño y Contrucción de estructura de paso sobre la Quebrada Guaria, sección Pitahaya (Ruta Nacional N° 111) - Barreal. </t>
  </si>
  <si>
    <t>Obra</t>
  </si>
  <si>
    <t xml:space="preserve"> El presente proyecto consiste en realizar la construcción de un Puente y sus accesos, los cuales tendrán 2 carriles (uno por sentido)</t>
  </si>
  <si>
    <t>Puente Prefa</t>
  </si>
  <si>
    <t>Finalizado</t>
  </si>
  <si>
    <t>Heredia, Ulloa, Barreal-Cenada</t>
  </si>
  <si>
    <t>2012LN-00009-0DI00</t>
  </si>
  <si>
    <t xml:space="preserve">Diseño y construcción de estructuras de drenaje mayor en la Ruta Nacional N° 121, sección: San Rafael de Escazú - Ciudad Colón (Línea N° 2). </t>
  </si>
  <si>
    <t>Construcción de 6 pasos transversales alcantarillas abovedadas (Corrogres, Uruca, Azul, Cubillo, Oro, Caraña); conformados por arcos prefabricados; la cimentación de la esta estructuras son placa de cimentación aislada.</t>
  </si>
  <si>
    <t>MECO S.A.</t>
  </si>
  <si>
    <t>San José, Santa Ana, Piedades</t>
  </si>
  <si>
    <t xml:space="preserve">2014LA-000005-0DI00 </t>
  </si>
  <si>
    <t xml:space="preserve">Diseño y Construcción de puente peatonal sobre Río Santa Clara, Ruta Nacional N° 810. </t>
  </si>
  <si>
    <t xml:space="preserve"> Puente modular de 91,4 m de largo, formado por dos luces de 45,7 m. La estructura corresponde a un puente metálico modular lanzable con capacidad de 41Ton;  un carril de 4,2 m y una acera de 1,2 m.  </t>
  </si>
  <si>
    <t>Puente Prefa Ltda.</t>
  </si>
  <si>
    <t xml:space="preserve">Limón, Pococí, JIménez y Roxana. </t>
  </si>
  <si>
    <t>2014LN-000002-0DI00</t>
  </si>
  <si>
    <t xml:space="preserve">Instalación de Puentes Metálicos Modulares Lanzables en la Ruta Nacional No. 245. Sección: Puerto Jiménez - Carate. </t>
  </si>
  <si>
    <t>Suministro, traslado y colocación de 5 puentes
modulares para ríos y quebradas entre las localidades de Puerto Jiménez - Carate.</t>
  </si>
  <si>
    <t xml:space="preserve">Provincia Puntarenas, Canton Golfito, Distrito
Puerto Jiménez, Secciones de Control 60433, 60434 y 60435.
</t>
  </si>
  <si>
    <t>2018LN-000003-0006000001</t>
  </si>
  <si>
    <t>Contrucción, sumunistro y colocación de cercha de acero galvanizado sobre el Río General Viejo, Ruta Nacional N° 321 (puente nuevo).</t>
  </si>
  <si>
    <t xml:space="preserve">Construcción de puente de cercha de acero galvanizado de una longitud de 121.5 metros de largo. </t>
  </si>
  <si>
    <t>Provincia: San José; Cantón: Pérez Zeledón; Distrito: El General</t>
  </si>
  <si>
    <t>2018LN-000002-0006000001</t>
  </si>
  <si>
    <t xml:space="preserve">Construcción de tres puentes sobre: la Quebrada Sube y Baja, Río Esperanza y Río Rempujo, Ruta Nacional No. 160, sección Garza - Nosara. </t>
  </si>
  <si>
    <t xml:space="preserve">El presente proyecto consiste en realizar la construcción de tres Puentes (Quebrada Sube y Baja, Rio Esperanza y Rio Rempujo) de 2 carriles. </t>
  </si>
  <si>
    <t>CODOCSA S.A.</t>
  </si>
  <si>
    <t>En Ejecución</t>
  </si>
  <si>
    <t>Provincia: Guanacaste
Cantón: Nicoya
Distrito: Nosara
Sección de control: 50592</t>
  </si>
  <si>
    <t>2015LA-000037-0GCTT</t>
  </si>
  <si>
    <t>Diseño y construcción de las obras de estabilización del talud en las cercanías del Río Balsa, Ruta Nacional N° 739</t>
  </si>
  <si>
    <t>Estabilización de un talud de aproximadamente 5000 M2, por medio de terraceo, pantalla anclada de concreto, y obras de drenaje</t>
  </si>
  <si>
    <t>Consorcio G-TRES</t>
  </si>
  <si>
    <t>San Carlos</t>
  </si>
  <si>
    <t xml:space="preserve">2019LN-000012-0006000001  </t>
  </si>
  <si>
    <t xml:space="preserve">Mejoramiento del drenaje pluvial de las Rutas Nacionales N° 218 y N° 219, Loyola - Colegio Seráfico. </t>
  </si>
  <si>
    <t>Mejoramiento del drenaje pluvial de las Rutas Nacionales 218 y 219.</t>
  </si>
  <si>
    <t>Montedes S.A.</t>
  </si>
  <si>
    <t>Suspendido</t>
  </si>
  <si>
    <t>Cartago, Cartago, San Nicolás</t>
  </si>
  <si>
    <t>2012LN-000009-0DI00</t>
  </si>
  <si>
    <t xml:space="preserve">Diseño y construcción de estructuras de drenaje mayor en la Ruta Nacional N° 121, sección: San Rafael de Escazú - Ciudad Colón (Línea N° 1). </t>
  </si>
  <si>
    <t xml:space="preserve">El proyecto se basa en la construcción de 4 pasos transversales alcantarillas abovedadas; conformados por arcos prefabricados; la cimentación de la esta estructuras son placa de cimentación aislada. </t>
  </si>
  <si>
    <t>N/A</t>
  </si>
  <si>
    <t>San José, Escazú, San Rafael</t>
  </si>
  <si>
    <t>2019LN-000004-0006000001</t>
  </si>
  <si>
    <t>Mejoramiento de la Ruta Ncional N° 117, Río Virilla‐Río Ipís, incluye sustitución de ambos puentes y sus accesos</t>
  </si>
  <si>
    <t>Mejoramiento de la Ruta Nacional No. 117, tramo: Río Virilla-Río Ipís, incluye sustitución del Puente sobre Río Ípis y Puente sobre Río Virilla, así como los accesos y el paso provisional para el Puente sobre R. Virilla.</t>
  </si>
  <si>
    <t>CODOCSA</t>
  </si>
  <si>
    <t>Provincia: San José / Heredia; Cantón: Moravia / Santo Domingo, Distrito: San Vicente / San Miguel; respectivamente</t>
  </si>
  <si>
    <t>2015LN-000006-0GCTT</t>
  </si>
  <si>
    <t>Mejoramiento del sistema de alcantarillado pluvial en las Rutas Nacionales N° 112 y 503, sección La Suiza - Uriche - Bermúdez</t>
  </si>
  <si>
    <t>Construcción de un sistema de alcantarillado pluvial que recoja las aguas pluviales que aportan unos tramos de las Rutas Nacionales No. 112 y 503 hasta el río Bermúdez.</t>
  </si>
  <si>
    <t xml:space="preserve">Heredia, San Pablo, San Pablo. </t>
  </si>
  <si>
    <t>2012LN-000016-0DI00</t>
  </si>
  <si>
    <t>Rehabilitación del puente sobre el Río Sarapiquí, Ruta Nacional N° 4, sección: Las Vueltas de Horquetas - Puerto Viejo de Sarapiquí.</t>
  </si>
  <si>
    <t>Rehabilitación del puente sobre el Río Sarapiquí (longitud: 100m). Actividades constructivas de reforzamiento y/o sustitución de elementos estructurales.</t>
  </si>
  <si>
    <t>Puerto Viejo, Sarapiquí, Heredia</t>
  </si>
  <si>
    <t>2019LA-000032-0006000001</t>
  </si>
  <si>
    <t>Construcción del Puente sobre el Río Tures y sus Accesos de Aproximación, Ruta Nacional N° 116</t>
  </si>
  <si>
    <t>Pendiente</t>
  </si>
  <si>
    <t>Heredia, Santo Domingo, Tures.</t>
  </si>
  <si>
    <t>2019LN-000008-0006000001</t>
  </si>
  <si>
    <t>Construcción del puente sobre el Río Poás, Ruta Nacional N° 107</t>
  </si>
  <si>
    <t xml:space="preserve">Puente de 45 m de longitud, con una pasarela peatonal, con una superestructura de losa de rodamiento y losa de aproximación en concreto reforzado, soportadas por 4 cerchas de acero cuyos elementos serán elaborados con uniones empernadas, que se apoyan en bastiones de concreto reforzado y cimentación profunda en su margen derecha, y con accesos de aproximación al puente en estructura de pavimento asfáltico de aproximadamente 76 m de longitud. </t>
  </si>
  <si>
    <t>Provincia: Alajuela
Cantones: Alajuela y Poás
Distritos: Sabanilla (Alajuela) y San Pedro (Poás)
Secciones de control:  20380 y 20390</t>
  </si>
  <si>
    <t>2017LA-000027-
0006000001</t>
  </si>
  <si>
    <t>Contrucción Rampa de Acceso a la Ruta Nacional N° 1 en la Ribera de Belén</t>
  </si>
  <si>
    <t>Construcción de Rampa de Acceso a la Ruta
Nacional 1 con sus respectivos sistemas de drenaje .</t>
  </si>
  <si>
    <t>H Solís</t>
  </si>
  <si>
    <t>La Ribera, Cantón Belén, Provincia Heredia.</t>
  </si>
  <si>
    <t>2020LN-000002-0006000001</t>
  </si>
  <si>
    <t>Rehabilitación del puente sobre el Río Barranca, Ruta Nacional N° 23</t>
  </si>
  <si>
    <t>Sustitución de la losa de superestructura. Reforzamiento de las vigas principales mediante cables de presfuerzo externos, cambio de apoyos de neopreno, Reforzamiento de conexión superestructura-subestructura, topes sísmicos, juntas de expansión, reforzamiento de las placas de fundación de pilas (ensanchamiento y la colocación de pilotes).</t>
  </si>
  <si>
    <t>Puentes y Calzadas Infraestructuras S.L.U.</t>
  </si>
  <si>
    <t>Provincia: Puntarenas; Cantón: Esparza, Distrito: Espíritu Santo; respectivamente; Ruta Nacional No. 23.</t>
  </si>
  <si>
    <t>Obras complementarias para concluir con la Rehabilitación del Puente sobre el Río Sarapiquí, RN N°4, Sección: Las Vueltas de Horquetas – Puerto Viejo de Sarapiquí.</t>
  </si>
  <si>
    <t>2011CD-000016-0CV00</t>
  </si>
  <si>
    <t>Taludes y rehabilitción Ruta Nacional N° 209, secciones de control 10201 y 10202, Aserrí (Iglesia) - Tarbaca – Limite cantonal Aserrí – Acosta</t>
  </si>
  <si>
    <t>Contrucción de estructuras de contención en diferentes zonas de deslizamientos a lo largo de la Ruta Nacional No.209 entre Aserrí  y Acosta.</t>
  </si>
  <si>
    <t>Ajima</t>
  </si>
  <si>
    <t>Ruta entre Aserrí y Tarbaca</t>
  </si>
  <si>
    <t>2017LA-000021-0006-000001</t>
  </si>
  <si>
    <t>Diseño y Construcción de la estructura de drenaje mayor sobre la Quebrada La Fuente, Ruta Nacional N°  122</t>
  </si>
  <si>
    <t>Construcción de un paso transversal de alcantarilla de cuadro y construcción de sus aproximaciones.</t>
  </si>
  <si>
    <t>En Contratación</t>
  </si>
  <si>
    <t>San Rafael, Alajuela, Alajuela</t>
  </si>
  <si>
    <t>2017LA-000002-006000001</t>
  </si>
  <si>
    <t>Diseño y Construcción de la estructura de drenaje mayor sobre la Quebrada Valverde Ruta Nacional N° 717</t>
  </si>
  <si>
    <t>Drenaje Mayor Tipo Alcantarilla Abovedada de 6 metros de ancho por 14.6 metros de longitud y construcción de sus aproximaciones.</t>
  </si>
  <si>
    <t>Etapa de Diseño</t>
  </si>
  <si>
    <t>Puente de Piedra, Grecia, Alajuela</t>
  </si>
  <si>
    <t>2020LA-000006-0006000001</t>
  </si>
  <si>
    <t>Diseño y Construcción de la estructura de drenaje mayor sobre los Ríos Jabonal y Barranquilla, Ruta Nacional N° 742</t>
  </si>
  <si>
    <t>Diseño y construcción de las estructuras de drenaje mayor sobre los ríos Jabonal y Barranquilla. Dos Carriles</t>
  </si>
  <si>
    <t>Puente Prefa Limitada</t>
  </si>
  <si>
    <t xml:space="preserve">2017LA-000017-0006000001 </t>
  </si>
  <si>
    <t>Diseño y Construcción de la estructura de drenaje mayor sobre el Río Torres Ruta Nacional N° 108, sección Tournón - Barrio Iglesias Flores.</t>
  </si>
  <si>
    <t xml:space="preserve"> El presente proyecto consiste en realizar la construcción de un Puente y sus accesos, los cuales tendrán 4 carriles (dos por sentido). </t>
  </si>
  <si>
    <t>1 San José; Cantón: 13 Tibás; Distrito: 02 Cinco Esquinas.</t>
  </si>
  <si>
    <t>2018LA-000016-0006000001</t>
  </si>
  <si>
    <t>Diseño y construcción de la estructura de
drenaje mayor sobre El Rio Birris, Ruta Nacional N° 402</t>
  </si>
  <si>
    <t>Puente con vigas de acero con losa de concreto, Longitud del Puente: 35 metros, Ancho del Puente: 6.60 metros, Números de carriles: 1 carril</t>
  </si>
  <si>
    <t>Cartago, Cantones Oreamuno - Alvarado</t>
  </si>
  <si>
    <t>2019LN-000014-0006000001</t>
  </si>
  <si>
    <t>Diseño y Construcción del paso a desnivel en el cruce "La Galera", Ruta Nacional N° 2 y 251</t>
  </si>
  <si>
    <t>Construcción de la estructura, con sus respectivas protecciones y muros de retención y confinamiento de taludes (en caso de requerirse), los accesos de aproximación, señalamiento y demarcación vial, reubicación de servicios públicos, aceras que permitan el acceso a la estructura a los peatones que utilizan la vía, limpieza del sitio de trabajo de cualquier tipo de escombro y todas las demás correctas prácticas de la ingeniería para lograr un proyecto eficaz, eficiente y de bajo impacto ambiental.</t>
  </si>
  <si>
    <t>Consorcio TYPSA-CONANSA-PUENTE PREFA</t>
  </si>
  <si>
    <t>San José, Curridabat, Curridabat/Sánchez.</t>
  </si>
  <si>
    <t>Mejoramiento Ruta Nacional N° 239</t>
  </si>
  <si>
    <t xml:space="preserve">Plan de Inversión  de la Tormenta NATE 
(Decreto de Emergencia) </t>
  </si>
  <si>
    <t>2020IS-000001-0006000001</t>
  </si>
  <si>
    <t xml:space="preserve">Atención de varios sitios de vulnerabilidad en la sección Sabalito - Las Mellizas de la Ruta Nacional N° 613. </t>
  </si>
  <si>
    <t>La contratación de estudios preliminares, diseño y construcción para seis inestabilidades en la Ruta Nacional N° 613 (estaciones: 7+000, 7+200, 7+500, 8+900, 11+098 y 16+860)</t>
  </si>
  <si>
    <t>Sabalito, Coto Brus, Puntarenas</t>
  </si>
  <si>
    <t>Sin Asignar</t>
  </si>
  <si>
    <t>Construcción del puente sobre el Río Grande de Orosi, Ruta Nacional N° 224</t>
  </si>
  <si>
    <t>Palomo de Orosi, Paraíso, Cartago</t>
  </si>
  <si>
    <t>Licitación Abreviada 2020LA-000010-0006000001</t>
  </si>
  <si>
    <t>Sustitución Puente Río Zapote Ruta Nacional N° 180 (Brasilito)</t>
  </si>
  <si>
    <t>Constructora MECO S.A.</t>
  </si>
  <si>
    <t xml:space="preserve"> Provincia: Guanacaste
Cantón: Santa Cruz
Distrito: Cabo Velas
Zona de control: 50521</t>
  </si>
  <si>
    <t>2020IS-000002-0006000001</t>
  </si>
  <si>
    <t>Construcción del Puente sobre el Río Pacuar en Ruta Nacional N° 243</t>
  </si>
  <si>
    <t>Contratación de estudios preliminares, diseño y reconstrucción del puente sobre el Río Pacuar.  Sustitución de la
estructura modular temporal existente. Dos carriles</t>
  </si>
  <si>
    <t>Sin Iniciar</t>
  </si>
  <si>
    <t>Pendiente de Adjundicar</t>
  </si>
  <si>
    <t>La Palma, Pérez Zeledón, San José</t>
  </si>
  <si>
    <t>Diseño y Construcción de las estructuras para el  Paso Elevado Vehicular tipo Viaducto, calles marginales, paso interior y rampas de aceleración y desaceleración en Hatillo 4, intersección calle Costa Rica y Ruta Nacional N°39</t>
  </si>
  <si>
    <t>Diseño y Construcción de las estructuras para el paso vehicular y puente peatonal entre los Hatillos 7 y 8, Ruta Nacional N° 39</t>
  </si>
  <si>
    <t>Contrato Pendiente</t>
  </si>
  <si>
    <t>Hatillos 2, 3, 5 y 6; Diseño y Construcción del paso a desnivel ubicado en la intersección de la Ruta de travesía N° 10124 con la Ruta Nacional N° 39</t>
  </si>
  <si>
    <t>Obras de Estabilización en la Ruta Nacional N° 1 (San Ramón- Barranca)</t>
  </si>
  <si>
    <t>La contratación de estudios preliminares, diseño y construcción de 2 soluciones técnicas a las inestabilidades sobre la Ruta Nacional N° 1, en las estaciones 63+700 y 65+600, Cambronero.</t>
  </si>
  <si>
    <t>Construcción del puente sobre el Río Barranca, Ruta Nacional N° 1</t>
  </si>
  <si>
    <t>Sustitución de la estructura actual de puente, con un paso provisional que mantenga constante el paso de usuarios.
Se cuenta con un Recurso de Amparo que establece un tiempo de 36 meses para ejecutar a partir del 30 de agosto de 2021.</t>
  </si>
  <si>
    <t xml:space="preserve">Puntarenas, Esparza, Espiritu Santo. RN 1. </t>
  </si>
  <si>
    <t>Puente Río Guacimal, Ruta Nacional N° 606</t>
  </si>
  <si>
    <t>Contratación de estudios preliminares, diseño y reconstrucción del puente sobre el Río Guacimal.  Sustitución de la estructura modular temporal existente. Dos carriles</t>
  </si>
  <si>
    <t>Construcción del puente sobre el Río Tortuguero, Ruta Nacional N° 247</t>
  </si>
  <si>
    <t>Construcción de los puentes sobre el Río Desenredo y Perla, Ruta Nacional N° 249</t>
  </si>
  <si>
    <t xml:space="preserve">No tiene </t>
  </si>
  <si>
    <t>Construcción de los puentes sobre el Río Penitencia y Zapota 2, Ruta Nacional N° 247</t>
  </si>
  <si>
    <t>Construcción del puente sobre el Río Turrialba, Ruta Nacional N° 415</t>
  </si>
  <si>
    <t>Base de datos (Completar casillas color naranja, los espacios verdes se calculan automáticamente):</t>
  </si>
  <si>
    <t>Valor Ganado</t>
  </si>
  <si>
    <t>Avance de las últimas tres quincenas</t>
  </si>
  <si>
    <t>Tabla: Avance Financiero</t>
  </si>
  <si>
    <t>Tabla: Flujo de desembolsos</t>
  </si>
  <si>
    <t>Línea base (mill)</t>
  </si>
  <si>
    <t>(13) Autorizado (mill)</t>
  </si>
  <si>
    <t>Financiero ejecutado (mill)</t>
  </si>
  <si>
    <t>Físico ejecutado (mill)</t>
  </si>
  <si>
    <t>(12) Línea base</t>
  </si>
  <si>
    <t>(14) Desembolsado</t>
  </si>
  <si>
    <t>(15) Físico ejecutado</t>
  </si>
  <si>
    <t>Mes</t>
  </si>
  <si>
    <t>SPI</t>
  </si>
  <si>
    <t>CPI</t>
  </si>
  <si>
    <t>TCPI</t>
  </si>
  <si>
    <t>EAC</t>
  </si>
  <si>
    <t>(12) Línea base (mill)</t>
  </si>
  <si>
    <t>(14) Financiero ejecutado (mill)</t>
  </si>
  <si>
    <t>(15) Físico ejecutado (mill)</t>
  </si>
  <si>
    <t>PV</t>
  </si>
  <si>
    <t>AC</t>
  </si>
  <si>
    <t>EV</t>
  </si>
  <si>
    <t>BAC</t>
  </si>
  <si>
    <t>SV</t>
  </si>
  <si>
    <t>CV</t>
  </si>
  <si>
    <t xml:space="preserve"> PLAZO</t>
  </si>
  <si>
    <t>Orden de Inicio</t>
  </si>
  <si>
    <t>Plazo contractual (PC)</t>
  </si>
  <si>
    <t>días</t>
  </si>
  <si>
    <t>Eventos compens. (EC)</t>
  </si>
  <si>
    <t>Plazo por suspensión (PS)</t>
  </si>
  <si>
    <t>Plazos OM (POM)</t>
  </si>
  <si>
    <t>Plazo total (PC+EC+POM)</t>
  </si>
  <si>
    <t>Última suspensión</t>
  </si>
  <si>
    <t>Plazo utilizado</t>
  </si>
  <si>
    <t>% Avance</t>
  </si>
  <si>
    <t>Fecha de Finalización</t>
  </si>
  <si>
    <t xml:space="preserve"> COSTO</t>
  </si>
  <si>
    <t>Monto de oferta (MO)</t>
  </si>
  <si>
    <t>Orden Modificación (OM)</t>
  </si>
  <si>
    <t>Reajustes (R)</t>
  </si>
  <si>
    <t>Monto total (MO+OM+R)</t>
  </si>
  <si>
    <t>Financiero Ejec.</t>
  </si>
  <si>
    <t>% Ejec.</t>
  </si>
  <si>
    <t>Pendiente de pago (PP)</t>
  </si>
  <si>
    <t>Fuente Financiamiento</t>
  </si>
  <si>
    <t>Contratista/Supervisora</t>
  </si>
  <si>
    <t>Fotografía</t>
  </si>
  <si>
    <t>Consideraciones relevantes</t>
  </si>
  <si>
    <t>sep-20</t>
  </si>
  <si>
    <t>sep-21</t>
  </si>
  <si>
    <t>sep-22</t>
  </si>
  <si>
    <t xml:space="preserve">Adjudicación declarada desierta. 
Proveduría Institucional. 
Para el presente proyecto, no se presenta dashboard, ya que el proyecto no ha sido asignado de manera oficial a la Gerencia. Aun se mantiene en la Gerencia de Contratación de Vías y Puentes. </t>
  </si>
  <si>
    <t xml:space="preserve">Presupuesto insuficiente para iniciar su contratación. Conlleva expropiaciones. Para el presente proyecto, no se presenta dashboard, ya que el proyecto no ha sido asignado de manera oficial a la Gerencia. </t>
  </si>
  <si>
    <t xml:space="preserve">Presupuesto insuficiente para iniciar su contratación. Para el presente proyecto, no se presenta dashboard, ya que el proyecto no ha sido asignado de manera oficial a la Gerencia. </t>
  </si>
  <si>
    <t xml:space="preserve">Proyecto de 2 puentes.
Presupuesto insuficiente para iniciar su contratación.Para el presente proyecto, no se presenta dashboard, ya que el proyecto no ha sido asignado de manera oficial a la Gerencia. </t>
  </si>
  <si>
    <t xml:space="preserve">Proyecto de 2 puentes.
Presupuesto insuficiente para iniciar su contratación. Para el presente proyecto, no se presenta dashboard, ya que el proyecto no ha sido asignado de manera oficial a la Gerencia. </t>
  </si>
  <si>
    <t>Presupuesto hasta la Conclusión (BAC)
(mill)</t>
  </si>
  <si>
    <t>Valor Planeado (PV)
(mill)</t>
  </si>
  <si>
    <t>Costo Real (AC)
(mill)</t>
  </si>
  <si>
    <t>Valor Ganado (EV)
(mill)</t>
  </si>
  <si>
    <t>PV% = 
PV / BAC</t>
  </si>
  <si>
    <t>EV% =
EV / BAC</t>
  </si>
  <si>
    <t>AC% =
AC / BAC</t>
  </si>
  <si>
    <t>Desviación del Cronograma SV =
EV – PV
(mill)</t>
  </si>
  <si>
    <t>Desviación del Costo 
CV =
EV – AC
(mill)</t>
  </si>
  <si>
    <t>Desviación del Cronograma
SV% =
SV / PV</t>
  </si>
  <si>
    <t>Desviación del Costo 
CV% =
CV / EV</t>
  </si>
  <si>
    <t>Índice desempeño cronograma SPI =
EV / PV</t>
  </si>
  <si>
    <t>Índice desempeño Costo
CPI =
EV / AC</t>
  </si>
  <si>
    <t>Índice desempeño para completar TCPI =
(BAC – EV) / (BAC – AC)</t>
  </si>
  <si>
    <t xml:space="preserve"> Tiempo estimado al completamiento EACt =
(BAC / SPI) / (BAC / días) </t>
  </si>
  <si>
    <t>PLAZO SUSPENSIÓN</t>
  </si>
  <si>
    <t>ÚLTIMA SUSPENSIÓN</t>
  </si>
  <si>
    <t>MONTO PENDIENTE DE PAGO</t>
  </si>
  <si>
    <t>-</t>
  </si>
  <si>
    <t xml:space="preserve">Finiquito fue presentado el 26/9/2022. 
Para el presente proyecto, no se presenta dashboard, ya que el proyecto se encuentra finalizado. </t>
  </si>
  <si>
    <t xml:space="preserve">El finiquito fue procesado el 11/8/2022. 
Para el presente proyecto, no se presenta dashboard, ya que el proyecto  se encuentra finalizado. </t>
  </si>
  <si>
    <t xml:space="preserve">Se está preparando un informe para recisión del contrato. Para el presente proyecto, no se presenta dashboard, ya que el proyecto técnicamente se encuentra suspendido, por lo cual no se ha ejecutado presupuesto. </t>
  </si>
  <si>
    <t>2019LN-000019-0006000001</t>
  </si>
  <si>
    <t>2016LN-0000015-0006000001</t>
  </si>
  <si>
    <t xml:space="preserve">2019LN-000016-000600001 </t>
  </si>
  <si>
    <t xml:space="preserve">
Proveduría Institucional. 
Para el presente proyecto, no se presenta dashboard, ya que el proyecto no ha sido asignado de manera oficial a la Gerencia. </t>
  </si>
  <si>
    <t>2020IS-000003-0006000001</t>
  </si>
  <si>
    <t>Consorcio ALSO-D'GEO</t>
  </si>
  <si>
    <t>2020IS-000004-0006000001</t>
  </si>
  <si>
    <t>La contratación es producto de la autorización brindadn por la CGR; no obstante, a la fecha el contrato noha podido ser formalizado. Se trabaja en la recesión del proyecto. Para el presente proyecto, no se presenta dashboard.</t>
  </si>
  <si>
    <r>
      <t xml:space="preserve">Construcción de 15 puentes, desglosados:
Línea 1: 4 Puentes (0%)
</t>
    </r>
    <r>
      <rPr>
        <b/>
        <sz val="11"/>
        <rFont val="Calibri"/>
        <family val="2"/>
      </rPr>
      <t>Línea 2: 6 Puentes (100%)</t>
    </r>
    <r>
      <rPr>
        <sz val="11"/>
        <rFont val="Calibri"/>
        <family val="2"/>
      </rPr>
      <t xml:space="preserve">
Línea 3: 5 Puentes (100%)
No se puede realizar el Finiquito, ya que esta contratación tiene como objeto contractual, la construcción de 15 puentes.
Para el presente proyecto, no se presenta dashboard, ya que el proyecto técnicamente se encuentra finalizado. </t>
    </r>
  </si>
  <si>
    <t xml:space="preserve">Alajuela, San Ramón, Santiago. </t>
  </si>
  <si>
    <t xml:space="preserve">Al proyecto se le realizó la recepción definitiva el pasado 19 de enero del 2023. Para el presente proyecto, no se presenta dashboard, ya que el proyecto se encuentra finalizado. </t>
  </si>
  <si>
    <t>En ejecución</t>
  </si>
  <si>
    <t>El proyecto consiste en la construcción de subestructura y superestructura que implica el lanzamiento de la cercha de acero galvanizado de un solo tramo de 121,50 metros de longitud sobre el Río Grande de Orosi, en la RN N°224.</t>
  </si>
  <si>
    <t xml:space="preserve">En elaboración de términos de referencia y planos a cargo de la Gerencia de Contratación de Vías y puentes. Para el presente proyecto, no se presenta dashboard, ya que el proyecto no ha sido asignado de manera oficial a la Gerencia. </t>
  </si>
  <si>
    <t>El proyecto consiste en la construcción de un nuevo puente sobre el río Zapote en Cabo Velas de Santa Cruz Guanacaste, con un ancho total de 10,60m y una longitud entre bastiones de 25,00m en la sección de control 50521 de la Ruta Nacional No.180. La nueva estructura deberá incluir bastiones de concreto reforzado, con vigas de acero y losa de rodamiento en concreto reforzado, baranda New Jersey a ambos lados, dos carriles para vehículos de 3,65m de ancho y dos pasarelas peatonales de 1,20m de ancho, con baranda metálica a ambos lados como protección, con el fin de eliminar el congestionamiento vial y dar seguridad vial a los usuarios, en aras de potencializar el desarrollo turístico, de servicios, productivo, pesca y comercial, de la comunidad de Brasilito y el área de influencia.</t>
  </si>
  <si>
    <t>Estructura para el paso elevado vehicular tipo viaducto, calles marginales, paso inferior y rampas de aceleración y desaceleración en Hatillo 4, intersección calle Costa Rica y Ruta Nacional No. 39.</t>
  </si>
  <si>
    <t>2019LN-000019-000600001</t>
  </si>
  <si>
    <t xml:space="preserve">Central, Hatillo. </t>
  </si>
  <si>
    <t>Diseño y construcción de las obras de estabilización del talud en el KM21, Ruta Nacional N° 606.</t>
  </si>
  <si>
    <t xml:space="preserve">Proceso de Contratación. 
Para el presente proyecto, no se presenta dashboard, ya que el proyecto no ha sido asignado de manera oficial a la Gerencia. </t>
  </si>
  <si>
    <t>Estructura de paso a desnivel con sus respectivos accesos de aproximación y el carril de aceleración paralelo a la Ruta de Circunvalación Ruta Nacional No 39 en el sentido sur-norte.</t>
  </si>
  <si>
    <t>2019LN-000016-000600001</t>
  </si>
  <si>
    <t>dic-22</t>
  </si>
  <si>
    <t>ene-23</t>
  </si>
  <si>
    <t>feb-23</t>
  </si>
  <si>
    <t>marz-23</t>
  </si>
  <si>
    <t>may-23</t>
  </si>
  <si>
    <t>jun-23</t>
  </si>
  <si>
    <t>jul-23</t>
  </si>
  <si>
    <t>abril-23</t>
  </si>
  <si>
    <t>ago-23</t>
  </si>
  <si>
    <t>Puntarenas, Esparza / San Ramón, San Jeónimo / Piedades Sur</t>
  </si>
  <si>
    <t>CONSORCIO ALSO-DGEO</t>
  </si>
  <si>
    <t>COPISA CONSTRUCTORA PIRENAICA, S.A.</t>
  </si>
  <si>
    <t>Puntarenas, Monteverde, Santa Elena</t>
  </si>
  <si>
    <t xml:space="preserve">El proyecto se encuentra en etapa de diseño, informe de avance 1 y 2 aprobados, informe de Avance No. 3, fue entregado por el contratista el 3 de marzo 2023 para revisión. Por lo cual no se adjunta hoja de resumen. </t>
  </si>
  <si>
    <t>2022LA-000004-0006000001</t>
  </si>
  <si>
    <t xml:space="preserve">El proyecto se encuentra en etapa de diseño, según la ultima estimación realizada por la Gerencia de Contratación, el proyecto podría estar llegando a la Gerencia de Construcción el segundo semestre del 2023.
Para el presente proyecto, no se presenta dashboard, ya que el proyecto no ha sido asignado de manera oficial a la Gerencia. </t>
  </si>
  <si>
    <t>San José, San José, Hatillo</t>
  </si>
  <si>
    <t>Cierre Contractual</t>
  </si>
  <si>
    <t>Indefinida</t>
  </si>
  <si>
    <t xml:space="preserve">Diseño y construcción de las obras de estabilización del Talud en el KM 21, Ruta Nacional N°606. </t>
  </si>
  <si>
    <t xml:space="preserve">En ejecución de diseño. Para el presente proyecto, no se presenta dashboard, ya que el proyecto no ha sido asignado de manera oficial a la Gerencia. </t>
  </si>
  <si>
    <t>Contrato activo.
Rempujo: Construcción de aceras y cordón y caño
Esperanza: Construcción de escolleras, losa de aproximación
Sube y Baja: Construcción de rellenos de aproximación, colocación de tuberías.
Se tiene pendiente por parte de Jurídicos la revisión del reclamo administrativo enviado el 01 de diciembre de 2021 mediante oficio GCTI-15-21-1209 (0736) y la certificación presupuestaria por parte de la Gerencia de Construcción</t>
  </si>
  <si>
    <t xml:space="preserve">En ejecución.   </t>
  </si>
  <si>
    <t xml:space="preserve">Proyecto suspendido, en elaboración de la orden de modificación. A la espera de la razonabilidad de precios solicitada mediante oficio GCTI-32-22-0884 (1138) del 07/11/23. Para el presente proyecto, no se presenta dashboard, ya que el proyecto técnicamente se encuentra suspendido, por lo cual no se ha ejecutado presupuesto. </t>
  </si>
  <si>
    <t xml:space="preserve">Proyecto ya se encuentra adjudicado.
TdR para Servicios de apoyo fue remitido a la Gerencia de Contratación (se remitió mediante oficio GCTI-38-22-0714 de fecha 16 de setiembre 2022).
Rosa Madrigal de planificación institucional se retrasó con el avance del perfil del proyecto por atención de recursos de amparo en contra de la institución.
Se remite oficio de respuesta de a Previsión Vial ing. Mario Vega sobre derechos de vía para determinar acciones a tomar con respecto a arboles a talar.
Para el presente proyecto, no se presenta dashboard, ya que el proyecto no ha culminado su proceso dentro de la Gerencia de Contratación de Vías y Puentes. </t>
  </si>
  <si>
    <t xml:space="preserve">AyA indica que realizara movilización de tubería antes de finalizar etapa de diseño, a la fecha no ha indicado algún costo económico en contra de la Administración, se realiza visita 9 mayo a sitio y se remite consulta vía correo electrónico nuevamente a AyA sobre estado de dicha gestión.
Se consulta a la ing. Mónica Moreira vía correo electrónico (9-3-2023) estado de contratación de servicios de apoyo, sin obtener respuesta a la fecha.
Se remite oficio de respuesta de Previsión Vial al ing. Mario Vega para determinar situación de arboles a talar.
 Para el presente proyecto, no se presenta dashboard, ya que el proyecto no ha sido asignado de manera oficial a la Gerencia. </t>
  </si>
  <si>
    <t xml:space="preserve">  Para el presente proyecto, no se presenta dashboard, ya que el proyecto se encuentra suspendido. </t>
  </si>
  <si>
    <t>abrl-23</t>
  </si>
  <si>
    <t xml:space="preserve">
 Meco entro 25 de enero a iniciar reparaciones de pintura, fueron finalizados.
Pendiente respuesta de GAJ sobre OM2 de reajuste por método analítico.
Para el presente proyecto, no se presenta dashboard, ya que el proyecto técnicamente se encuentra finalizado. </t>
  </si>
  <si>
    <t xml:space="preserve">Se remitió a empresa reajustes por método analítico, la misma solicito el análisis de facturas asociadas dentro del calculo para el método analítico, en reunión del 20 de abril del 2023, la empresa MECO se compromete a atender los oficios de la Administración y presentar el descargo de la información de reajustes para el método analítico.
Empresa MECO se retraso con los trabajos del puente del rio General, se iniciaran labores a partir del mes de mayo 2023.
Para el presente proyecto, no se presenta dashboard, ya que el proyecto técnicamente se encuentra finalizado. </t>
  </si>
  <si>
    <r>
      <t xml:space="preserve">Construcción de 15 puentes, desglosados:
</t>
    </r>
    <r>
      <rPr>
        <b/>
        <sz val="11"/>
        <rFont val="Calibri"/>
        <family val="2"/>
      </rPr>
      <t>Línea 1: 4 Puentes (0%)</t>
    </r>
    <r>
      <rPr>
        <sz val="11"/>
        <rFont val="Calibri"/>
        <family val="2"/>
      </rPr>
      <t xml:space="preserve">
Línea 2: 6 Puentes (100%)
Línea 3: 5 Puentes (100%)
El AYA y el ICE están analizando las modificaciones de Cruz y agres respectivamente para dar el aval a estas y continuar con el trámite de la modificación integral de los planos.
Para el presente proyecto, no se presenta dashboard, ya que el proyecto se encuentra suspendido, en virtud a un rediseño. Motivo por el cual no se ha ejecutado ningún monto. </t>
    </r>
  </si>
  <si>
    <t xml:space="preserve">A la espera del planteamiento de la ubicación del puente sobre el río Ipís por parte de la Gerencia de Contrataciones, para que sea remitido a la Dirección de puentes del MOPT y continúen con el ajuste del puente.
Pendiente la respuesta por parte de la Dirección de Diseño respecto a la solicitud realizada por Coopelibertad sobre el muro de contención y la colocación del cabezal de desfogue hacia el río Ipís Virilla.
Pendiente dar seguimiento al Acuerdo de Voluntades para continuar con el acuerdo para el paso provisional.
Pendiente el Decreto de Conveniencia Nacional, por no contar con el análisis costo beneficio.
Proceso de Acuerdo de Voluntades (archivado), pendiente cartas de anuencia.
Se envió el replanteo topográfico de las márgenes del río Ipís, límites de propiedades, localización de cimentaciones de la tubería del AYA. En conjunto con la Gerencia de Contrataciones, se en reunión del 27/04/23, se acordó remitir la información al Ing. Antonio Romero para su consideración en el replanteo del diseño del puente sobre el río Ipís.
Pendiente la solicitud de inclusión en el POI y en MIDEPLAN (en trámite)Para el presente proyecto, no se presenta dashboard, ya que el proyecto técnicamente se encuentra suspendido </t>
  </si>
  <si>
    <t xml:space="preserve">El día 02 de abril de 2023 se finalizaron las obras constructivas.
Se realizó la recepción definitiva del proyecto el día 28 de abril de 2023, en presencia del Contratista (Director Técnico e Ingeniera Residente) y funcionarios del CONAVI (representantes de Construcción y Conservación)
Se estarán realizando las gestiones respectivas para el cierre del proyecto. 
Para el presente proyecto, no se presenta dashboard, ya que el proyecto técnicamente se encuentra finalizado. </t>
  </si>
  <si>
    <t xml:space="preserve">Suspensión total desde el 04 de enero de 2021, por modificación en los planos del puente y aproximaciones (se mantiene en prorroga el contrato hasta el 4 de julio de 2023).
Se r emite los planos del rediseño por parte de la Dirección de Puentes del MOPT, el 22 de setiembre del 2022, el el 22 de diciembre se nos envió el DWG con las curvas de nivel actualizadas y unificadas con la información de la topografía nuestra, lo cual se remitió tanto a la Gerencia de Contrataciones para el rediseño de las aproximaciones, mediante correo del 22 de diciembre así como a la empresa para revisión y continuidad de acuerdos pendientes mediante correo del 09 de enero del 2023.
Una vez se tenga el rediseño de las aproximaciones se realizara los tramites necesarios para una OM así como el reinicio de las obras proyectada para el jueves 30 de noviembre del 2023.
Se está la espera del convenio que permita el préstamo de un puente peatonal, para que se tome en cuenta y se pueda cumplir con el plan de manejo de transito así como el análisis de las memorias de calculo entregadas por la empresa para incluir los costos asociados al PMT a una OM de aumento.
Para el presente proyecto, no se presenta dashboard, ya que el proyecto técnicamente se encuentra suspendido, por lo cual no se ha ejecutado presupuesto. </t>
  </si>
  <si>
    <t xml:space="preserve">Suspensión
El proyecto Cuenta con:
Empresa constructora adjudicada (Constructora H Solis).
Servicios de apoyo adjudicados  (IMSA).
La expropiación requerida a nombre del Estado.
Pendiente
Encuentra de la ultima versión de los planos constructivos por parte del diseñador Transvial, con las correcciones solicitadas por la Gerencia de Contratación. Para el presente proyecto, no se presenta dashboard, ya que el proyecto técnicamente se encuentra suspendido, por lo cual no se ha ejecutado presupuesto. </t>
  </si>
  <si>
    <t xml:space="preserve">Aprobada la propuesta técnica planteada por el contratista. Se dio la orden de iniciar con el diseño de la nueva metodología constructiva (GCTI-47-23- 0034 (1193), 20/01/23)
Se revisaron los planos y memoria de cálculo de nueva metodología. La Dirección de Diseño del Conavi, observaciones y comentarios por subsanarse, mediante oficio DVP-38-2023-0227 del 12/05/2023, atendiendo a la solicitud de revisión. Pendiente de respuesta por parte del Contratista.
Pendiente el análisis costo-beneficio (modificado sin mangle, se solicitó la actualización del inventario forestal (entregado13/03/23), para reanudar el trámite del DCN)
Invasión al derecho de vía en PK 0+350-0380 MD. Ya fue notificado por parte del Departamento de Inspección y Demoliciones del MOPT el 19 de agosto de 2022
Pendiente la solicitud de inclusión en el POI y en MIDEPLAN (en trámite)
Servicio de apoyo adjudicado, pero pendiente de contrato.
Para el presente proyecto, no se presenta dashboard, ya que el proyecto técnicamente se encuentra suspendido, por lo cual no se ha ejecutado presupuesto. </t>
  </si>
  <si>
    <t xml:space="preserve">El Consejo de Administración -mediante acuerdo ACA-01-2023-0129, del 17 de marzo de 2023- ordenó la recisión contractual del proyecto.
Mediante el oficio GCTI-05-23-0295, del 12 de abril de 2023, se le trasladó a la Gerencia de Asuntos Jurídicos (GAJ) el reclamo presentado por el Contratista; esto, con el objetivo de que la GAJ inicie formalmente las gestiones de rescisión contractual.
Se ha generado la OS 17, gestión solicitada por la Gerencia de Asuntos Jurídicos, para suspender el contrato y seguir el proceso de rescisión. Para el presente proyecto, no se presenta dashboard, ya que el proyecto técnicamente se encuentra suspendido. </t>
  </si>
  <si>
    <t xml:space="preserve">Se realizó la reunión pre contrucción el 23 de mayo, definiendo la fecha de inicio para el 12 de Junio de 2023.
Se está trabajando la revisión de documentos y en la reubicación de Servicios Públicos.
Se cuenta con permiso de cierre de vías el cual se dió para 24 horas y hasta el 26 de noviembre. Para el presente proyecto, no se presenta dashboard, ya que el proyecto no ha sido asignado de manera oficial a la Gerencia. Aun se mantiene en la Gerencia de Contratación de Vías y Puentes. </t>
  </si>
  <si>
    <t xml:space="preserve">La Gerencia de Contratación Traslada el Proyecto a la Gerencia de Construcción
El proyecto cuenta con:
Empresa constructora adjudicada (Constructora Meco)
Certificación de fondos por el monto total requerido para la ejecución del proyecto, Certificación N°23-071 de Financiero de Conavi
Certificación de  presupuesto  CERT-11-0005-2023 emitida  por el Gerente de Construcción
Permiso de obra en cause (MINAE)
Pendientes:
Autorización del cierre de vías por parte de la DGIT.
Aprobación del PMT por parte de la DGIT.
Adjudicación de los servicios de apoyo, se encuentra en proceso verificación de las condiciones por parte de la Proveeduría.
Elaboración del informe de estudio del adjudicatario por parte de la Gerencia de Contratación (Servicios de Apoyo).
Elaboración del contrato de los Servicios de Apoyo por parte de Proveeduría.
Contrato de acuerdo de voluntades de los vecinos involucrados en el proyecto por parte de Jurídicos.
Para el presente proyecto, no se presenta dashboard, ya que el proyecto no ha sido iniciado de manera formal. </t>
  </si>
  <si>
    <t xml:space="preserve">Se consultó sobre el avance de la etapa de diseño, se informó que se encuentra en etapa de revisión de informes, y que aún no se tiene fecha prevista para la finalización del proceso; sin embargo, se esperaría que sea trasladado en el mes de diciembre.
Se visitó la zona del proyecto, en compañía de funcionarios de Diseño y el Contratista, el día 15 de febrero de 2023, esto con el fin de conocer la zona y dialogar con los vecinos.
Se está en proceso de formulación de términos de referencia para servicios de apoyo.Para el presente proyecto, no se presenta dashboard, ya que el proyecto no ha sido asignado de manera oficial a la Gerencia. Aun se mantiene en la Gerencia de Contratación de Vías y Puentes. </t>
  </si>
  <si>
    <t xml:space="preserve">Se encuentra en etapa de diseño a cargo de la Gerencia de Contratación de Vías y puentes se proyecta el inicio de esta contratación para el miércoles 30 de noviembre del 2023
Para el presente proyecto, no se presenta dashboard, ya que el proyecto no ha sido asignado de manera oficial a la Gerencia. Aun se mantiene en la Gerencia de Contratación de Vías y Puentes. </t>
  </si>
  <si>
    <t xml:space="preserve">La Gerencia de Contratación Traslada el Proyecto a la Gerencia de Construcción
El proyecto cuenta con:
Empresa constructora adjudicada (Constructora Meco)
Aprobación de los planos constructivos por el Departamento de Diseño de la Gerencia de Contratación.
Certificación de fondos por el monto total requerido para la ejecución del proyecto, Certificación N°23-064 de Financiero de Conavi
Certificación  CERT-11-0004-2023 emitida  por el Gerente de Construcción.
Autorización del cierre de vías por parte de la DGIT, oficio DVT-DGIT-ED-2023-0429.
Aprobación del PMT por parte de la DGIT, oficio DVT-DGIT-ED-2022-1364.
Decreto de Conveniencia para la corta de árboles (Decreto Ejecutivo N° 43908) se público en la Gaceta el 01 de marzo del 2023.
Dirección de Seguridad y Embellecimiento de Carreteras del MOPT emite criterio forestal y brinda las recomendaciones para la reforestación.
Servicios de Apoyo fecha del Contrato 25-05-2023 .
Pendientes:
Revisión y firma de la OS-22 (OS-1 construcción) por parte de Meco
Revisión y firma de la OS-1 (Servicios de Apoyo) por parte de CACISAPara el presente proyecto, no se presenta dashboard, ya que para el proyecto no se le ha dado orden de inicio. 
</t>
  </si>
  <si>
    <t xml:space="preserve">El proyecto dio orden de inicio el 31 de enero de 2023.
Se realizará en un Fast Track, Se dio orden de Adelanto del inicio de la Etapa II: Construcción (31-01-23), ejecutando de manera paralela diseño y "obras iniciales"
Proyecto se encuentra en Etapa 2, aprobados los Informes N°1 y N°2. Informe N° 3 en proceso.
Pendiente la solicitud de inclusión en el POI y en MIDEPLAN (en trámite). En virtud a la curva s, la presente se conforma mediante una proyección, ya que aún no se tiene toda la información. En las próximas entregas se estaría actualizando dicha información. </t>
  </si>
  <si>
    <t xml:space="preserve">Proyecto activo. Construcción de bastiones, escolleras, cordón y caño 								</t>
  </si>
  <si>
    <t xml:space="preserve">“La Dirección de Diseño de Vías y Puentes lo incluyó en el decreto de riesgo inminente por lo que el mecanismo de ejecución varía incluyendo que el proyecto deba esperar la conformación de una Unidad Ejecutora para su concreción, así también que mediante un plan de inversión se solicitó a la CNE comprar las estructuras de cercha utilizando el contrato de actual de CONAVI, mediante un convenio.”
Está en trámite el Documento de Requerimientos, el cual se ha trabajado en conjunto con la Gerencia de Contratación, Construcción y el proveedor Waagner Biro, incluyendo especificaciones y demandas espaciales requeridas para lanzar el puente. En proceso de confección los Términos de Referencia, por parte de la Gerencia de Contratación. En coordinación con AYA, ICE y RECOPE, para la construcción del puente de servicios, cuyo diseño va a estar incluido en la licitación del proyecto, no así la reubicación. Pendiente información por parte de las instituciones.
Se encuentra incluido en el POI 2021 y en el Banco de Proyectos de Inversión Pública del MIDEPLAN
Se realizó una contratación por imprevisibilidad para trabajar las estabilidad de las pilas. Oficio DRPC-15-2022-0198. Pausados trabajos de conservación.
Pendiente actualizar el cronograma de ejecución, solicitado a la Gerencia de Contratación. Para el presente proyecto, no se presenta dashboard, ya que el proyecto no ha sido asignado de manera oficial a la Gerencia. </t>
  </si>
  <si>
    <t xml:space="preserve">Construcción del mejoramiento pluvial sobre las Rutas Nacional Nos. 119 y 123. </t>
  </si>
  <si>
    <t>2021LN-000002-0006000001</t>
  </si>
  <si>
    <t>Construcción de un sistema de alcantarillado pluvial que recoja las aguas pluviales que aportan unos tramos de las Rutas Nacionales No. 119 y 123.</t>
  </si>
  <si>
    <t>CONSORCIO RUTAS 119 Y 123 FLORES</t>
  </si>
  <si>
    <t>San Joaquín / Barrantes</t>
  </si>
  <si>
    <t>mayo-23</t>
  </si>
  <si>
    <t xml:space="preserve">En conjunto con la Municipalidad de Flores el 4 de mayo se tuvo un acercamiento con los vecinos de la comunidad; además, el 10 de mayo se conversó con los comerciantes de la zona, esto con el fin de atender dudas.
La Municipalidad de Flores no está anuente a ejecutar el proyecto de forma paralela.
Se está en formulación de la Orden de Modificación No.2. En los próximos meses se actualizará la curva 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</si>
</sst>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164" formatCode="&quot;₡&quot;#,##0.00"/>
    <numFmt numFmtId="165" formatCode="dd/mm/yyyy"/>
    <numFmt numFmtId="166" formatCode="_-&quot;₡&quot;* #,##0.00_-;\-&quot;₡&quot;* #,##0.00_-;_-&quot;₡&quot;* &quot;-&quot;??_-;_-@"/>
    <numFmt numFmtId="167" formatCode="d\-mmmm\-yyyy"/>
    <numFmt numFmtId="168" formatCode="[$-1540A]dd\-mmm\-yy"/>
    <numFmt numFmtId="169" formatCode="mmm\-d"/>
    <numFmt numFmtId="170" formatCode="[$$-540A]#,##0.00"/>
  </numFmts>
  <fonts count="35">
    <font>
      <sz val="11"/>
      <color theme="1"/>
      <name val="Calibri"/>
      <scheme val="minor"/>
    </font>
    <font>
      <sz val="11"/>
      <color theme="1"/>
      <name val="Calibri"/>
      <family val="2"/>
      <scheme val="minor"/>
    </font>
    <font>
      <sz val="11"/>
      <color theme="1"/>
      <name val="Calibri"/>
      <family val="2"/>
      <scheme val="minor"/>
    </font>
    <font>
      <sz val="11"/>
      <color theme="1"/>
      <name val="Calibri"/>
    </font>
    <font>
      <sz val="9"/>
      <color theme="1"/>
      <name val="Arial Narrow"/>
    </font>
    <font>
      <sz val="10"/>
      <color theme="1"/>
      <name val="Calibri"/>
    </font>
    <font>
      <b/>
      <sz val="10"/>
      <color rgb="FFFFFF00"/>
      <name val="Arial Narrow"/>
    </font>
    <font>
      <sz val="11"/>
      <name val="Calibri"/>
    </font>
    <font>
      <sz val="11"/>
      <color theme="1"/>
      <name val="Arial"/>
    </font>
    <font>
      <sz val="11"/>
      <color theme="1"/>
      <name val="Calibri"/>
      <scheme val="minor"/>
    </font>
    <font>
      <b/>
      <sz val="11"/>
      <color theme="1"/>
      <name val="Arial"/>
    </font>
    <font>
      <sz val="10"/>
      <color theme="1"/>
      <name val="Arial Narrow"/>
    </font>
    <font>
      <sz val="10"/>
      <color theme="1"/>
      <name val="Arial"/>
    </font>
    <font>
      <b/>
      <sz val="10"/>
      <color theme="1"/>
      <name val="Arial Narrow"/>
    </font>
    <font>
      <b/>
      <u/>
      <sz val="11"/>
      <color theme="1"/>
      <name val="Arial"/>
    </font>
    <font>
      <b/>
      <u/>
      <sz val="11"/>
      <color theme="1"/>
      <name val="Arial"/>
    </font>
    <font>
      <sz val="8"/>
      <color theme="1"/>
      <name val="Calibri"/>
    </font>
    <font>
      <sz val="11"/>
      <color rgb="FF000000"/>
      <name val="Calibri"/>
    </font>
    <font>
      <sz val="11"/>
      <color theme="1"/>
      <name val="Calibri"/>
      <family val="2"/>
    </font>
    <font>
      <sz val="11"/>
      <color theme="0"/>
      <name val="Arial Narrow"/>
      <family val="2"/>
    </font>
    <font>
      <sz val="5"/>
      <color theme="1"/>
      <name val="Calibri"/>
      <family val="2"/>
    </font>
    <font>
      <sz val="5"/>
      <name val="Calibri"/>
      <family val="2"/>
    </font>
    <font>
      <sz val="11"/>
      <name val="Arial Narrow"/>
      <family val="2"/>
    </font>
    <font>
      <sz val="11"/>
      <name val="Calibri"/>
      <family val="2"/>
    </font>
    <font>
      <b/>
      <sz val="11"/>
      <name val="Calibri"/>
      <family val="2"/>
    </font>
    <font>
      <b/>
      <sz val="10"/>
      <color theme="2"/>
      <name val="Arial Narrow"/>
      <family val="2"/>
    </font>
    <font>
      <sz val="11"/>
      <color theme="2"/>
      <name val="Calibri"/>
      <family val="2"/>
    </font>
    <font>
      <sz val="8"/>
      <color theme="1"/>
      <name val="Arial"/>
      <family val="2"/>
    </font>
    <font>
      <sz val="8"/>
      <name val="Calibri"/>
      <family val="2"/>
    </font>
    <font>
      <sz val="11"/>
      <color rgb="FF000000"/>
      <name val="Calibri"/>
      <family val="2"/>
    </font>
    <font>
      <sz val="8"/>
      <color theme="1"/>
      <name val="Calibri"/>
      <family val="2"/>
      <scheme val="minor"/>
    </font>
    <font>
      <sz val="6.5"/>
      <color theme="1"/>
      <name val="Arial"/>
      <family val="2"/>
    </font>
    <font>
      <sz val="6.5"/>
      <name val="Calibri"/>
      <family val="2"/>
    </font>
    <font>
      <sz val="6.5"/>
      <color theme="1"/>
      <name val="Calibri"/>
      <family val="2"/>
      <scheme val="minor"/>
    </font>
    <font>
      <sz val="10"/>
      <color theme="1"/>
      <name val="Calibri"/>
      <family val="2"/>
    </font>
  </fonts>
  <fills count="13">
    <fill>
      <patternFill patternType="none"/>
    </fill>
    <fill>
      <patternFill patternType="gray125"/>
    </fill>
    <fill>
      <patternFill patternType="solid">
        <fgColor theme="0"/>
        <bgColor theme="0"/>
      </patternFill>
    </fill>
    <fill>
      <patternFill patternType="solid">
        <fgColor rgb="FF2E75B5"/>
        <bgColor rgb="FF2E75B5"/>
      </patternFill>
    </fill>
    <fill>
      <patternFill patternType="solid">
        <fgColor theme="1"/>
        <bgColor theme="1"/>
      </patternFill>
    </fill>
    <fill>
      <patternFill patternType="solid">
        <fgColor rgb="FF385623"/>
        <bgColor rgb="FF385623"/>
      </patternFill>
    </fill>
    <fill>
      <patternFill patternType="solid">
        <fgColor rgb="FFE7E6E6"/>
        <bgColor rgb="FFE7E6E6"/>
      </patternFill>
    </fill>
    <fill>
      <patternFill patternType="solid">
        <fgColor theme="9"/>
        <bgColor theme="9"/>
      </patternFill>
    </fill>
    <fill>
      <patternFill patternType="solid">
        <fgColor rgb="FFE2EFD9"/>
        <bgColor rgb="FFE2EFD9"/>
      </patternFill>
    </fill>
    <fill>
      <patternFill patternType="solid">
        <fgColor rgb="FFFFFF00"/>
        <bgColor rgb="FFFFFF00"/>
      </patternFill>
    </fill>
    <fill>
      <patternFill patternType="solid">
        <fgColor rgb="FFED7D31"/>
        <bgColor rgb="FFED7D31"/>
      </patternFill>
    </fill>
    <fill>
      <patternFill patternType="solid">
        <fgColor rgb="FF92D050"/>
        <bgColor theme="4" tint="-0.249977111117893"/>
      </patternFill>
    </fill>
    <fill>
      <patternFill patternType="solid">
        <fgColor theme="1"/>
        <bgColor indexed="64"/>
      </patternFill>
    </fill>
  </fills>
  <borders count="7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medium">
        <color rgb="FF000000"/>
      </top>
      <bottom/>
      <diagonal/>
    </border>
    <border>
      <left/>
      <right/>
      <top/>
      <bottom style="medium">
        <color rgb="FF000000"/>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medium">
        <color indexed="64"/>
      </left>
      <right/>
      <top style="medium">
        <color indexed="64"/>
      </top>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right style="medium">
        <color indexed="64"/>
      </right>
      <top style="thin">
        <color rgb="FF000000"/>
      </top>
      <bottom/>
      <diagonal/>
    </border>
    <border>
      <left style="medium">
        <color indexed="64"/>
      </left>
      <right/>
      <top/>
      <bottom style="medium">
        <color indexed="64"/>
      </bottom>
      <diagonal/>
    </border>
    <border>
      <left style="medium">
        <color rgb="FF000000"/>
      </left>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192">
    <xf numFmtId="0" fontId="0" fillId="0" borderId="0" xfId="0" applyFont="1" applyAlignment="1"/>
    <xf numFmtId="0" fontId="3" fillId="2" borderId="1" xfId="0" applyFont="1" applyFill="1" applyBorder="1"/>
    <xf numFmtId="0" fontId="8" fillId="2" borderId="1" xfId="0" applyFont="1" applyFill="1" applyBorder="1"/>
    <xf numFmtId="0" fontId="9" fillId="0" borderId="0" xfId="0" applyFont="1"/>
    <xf numFmtId="0" fontId="10" fillId="2" borderId="1" xfId="0" applyFont="1" applyFill="1" applyBorder="1"/>
    <xf numFmtId="0" fontId="4" fillId="6" borderId="2" xfId="0" applyFont="1" applyFill="1" applyBorder="1" applyAlignment="1">
      <alignment vertical="center"/>
    </xf>
    <xf numFmtId="0" fontId="4" fillId="6" borderId="2" xfId="0" applyFont="1" applyFill="1" applyBorder="1" applyAlignment="1">
      <alignment horizontal="center" vertical="center"/>
    </xf>
    <xf numFmtId="0" fontId="4" fillId="0" borderId="0" xfId="0" applyFont="1"/>
    <xf numFmtId="4" fontId="3" fillId="7" borderId="2" xfId="0" applyNumberFormat="1" applyFont="1" applyFill="1" applyBorder="1" applyAlignment="1">
      <alignment horizontal="center" vertical="center"/>
    </xf>
    <xf numFmtId="0" fontId="12" fillId="2" borderId="26" xfId="0" applyFont="1" applyFill="1" applyBorder="1" applyAlignment="1">
      <alignment vertical="center"/>
    </xf>
    <xf numFmtId="0" fontId="12" fillId="2" borderId="30" xfId="0" applyFont="1" applyFill="1" applyBorder="1" applyAlignment="1">
      <alignment vertical="center"/>
    </xf>
    <xf numFmtId="0" fontId="14" fillId="2" borderId="1" xfId="0" applyFont="1" applyFill="1" applyBorder="1" applyAlignment="1">
      <alignment vertical="center"/>
    </xf>
    <xf numFmtId="0" fontId="8" fillId="2" borderId="1" xfId="0" applyFont="1" applyFill="1" applyBorder="1" applyAlignment="1">
      <alignment vertical="center"/>
    </xf>
    <xf numFmtId="0" fontId="8" fillId="0" borderId="0" xfId="0" applyFont="1" applyAlignment="1">
      <alignment vertical="center"/>
    </xf>
    <xf numFmtId="0" fontId="3" fillId="0" borderId="0" xfId="0" applyFont="1"/>
    <xf numFmtId="169" fontId="17" fillId="10" borderId="49" xfId="0" applyNumberFormat="1" applyFont="1" applyFill="1" applyBorder="1" applyAlignment="1">
      <alignment horizontal="center"/>
    </xf>
    <xf numFmtId="164" fontId="5" fillId="7" borderId="2" xfId="0" applyNumberFormat="1" applyFont="1" applyFill="1" applyBorder="1" applyAlignment="1">
      <alignment horizontal="center" vertical="center" wrapText="1"/>
    </xf>
    <xf numFmtId="0" fontId="17" fillId="10" borderId="49" xfId="0" applyFont="1" applyFill="1" applyBorder="1" applyAlignment="1">
      <alignment horizontal="center"/>
    </xf>
    <xf numFmtId="4" fontId="16" fillId="7" borderId="2" xfId="0" applyNumberFormat="1" applyFont="1" applyFill="1" applyBorder="1" applyAlignment="1">
      <alignment horizontal="center" vertical="center"/>
    </xf>
    <xf numFmtId="0" fontId="2" fillId="0" borderId="0" xfId="0" applyFont="1" applyAlignment="1"/>
    <xf numFmtId="0" fontId="19" fillId="3"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14" fontId="19" fillId="3" borderId="2" xfId="0" applyNumberFormat="1" applyFont="1" applyFill="1" applyBorder="1" applyAlignment="1">
      <alignment horizontal="center" vertical="center" wrapText="1"/>
    </xf>
    <xf numFmtId="0" fontId="18" fillId="4" borderId="2" xfId="0" applyFont="1" applyFill="1" applyBorder="1" applyAlignment="1">
      <alignment horizontal="center" vertical="center" wrapText="1"/>
    </xf>
    <xf numFmtId="0" fontId="18" fillId="2" borderId="1" xfId="0" applyFont="1" applyFill="1" applyBorder="1" applyAlignment="1">
      <alignment horizontal="left" vertical="center" wrapText="1"/>
    </xf>
    <xf numFmtId="0" fontId="2" fillId="0" borderId="0" xfId="0" applyFont="1" applyAlignment="1">
      <alignment horizontal="left" vertical="center" wrapText="1"/>
    </xf>
    <xf numFmtId="14" fontId="2" fillId="0" borderId="0" xfId="0" applyNumberFormat="1" applyFont="1" applyAlignment="1">
      <alignment horizontal="left" vertical="center" wrapText="1"/>
    </xf>
    <xf numFmtId="0" fontId="2" fillId="0" borderId="0" xfId="0" applyFont="1" applyAlignment="1">
      <alignment horizontal="center"/>
    </xf>
    <xf numFmtId="0" fontId="0" fillId="0" borderId="0" xfId="0" applyFont="1" applyAlignment="1"/>
    <xf numFmtId="0" fontId="22" fillId="11" borderId="50" xfId="0" applyFont="1" applyFill="1" applyBorder="1" applyAlignment="1">
      <alignment horizontal="center" vertical="center" wrapText="1"/>
    </xf>
    <xf numFmtId="0" fontId="23" fillId="0" borderId="2" xfId="0" applyFont="1" applyFill="1" applyBorder="1" applyAlignment="1">
      <alignment horizontal="center" vertical="center" wrapText="1"/>
    </xf>
    <xf numFmtId="10" fontId="23" fillId="0" borderId="2" xfId="0" applyNumberFormat="1" applyFont="1" applyFill="1" applyBorder="1" applyAlignment="1">
      <alignment horizontal="center" vertical="center" wrapText="1"/>
    </xf>
    <xf numFmtId="166" fontId="23" fillId="0" borderId="2" xfId="0" applyNumberFormat="1" applyFont="1" applyFill="1" applyBorder="1" applyAlignment="1">
      <alignment horizontal="center" vertical="center" wrapText="1"/>
    </xf>
    <xf numFmtId="2" fontId="23" fillId="0" borderId="2" xfId="0" applyNumberFormat="1" applyFont="1" applyFill="1" applyBorder="1" applyAlignment="1">
      <alignment horizontal="center" vertical="center" wrapText="1"/>
    </xf>
    <xf numFmtId="164" fontId="23" fillId="0" borderId="2" xfId="0" applyNumberFormat="1" applyFont="1" applyFill="1" applyBorder="1" applyAlignment="1">
      <alignment horizontal="center" vertical="center" wrapText="1"/>
    </xf>
    <xf numFmtId="0" fontId="0" fillId="0" borderId="0" xfId="0" applyFont="1" applyAlignment="1"/>
    <xf numFmtId="0" fontId="19" fillId="3" borderId="51" xfId="0" applyFont="1" applyFill="1" applyBorder="1" applyAlignment="1">
      <alignment horizontal="center" vertical="center" wrapText="1"/>
    </xf>
    <xf numFmtId="0" fontId="12" fillId="2" borderId="8" xfId="0" applyFont="1" applyFill="1" applyBorder="1" applyAlignment="1">
      <alignment vertical="center"/>
    </xf>
    <xf numFmtId="0" fontId="12" fillId="9" borderId="32" xfId="0" applyFont="1" applyFill="1" applyBorder="1" applyAlignment="1">
      <alignment vertical="center"/>
    </xf>
    <xf numFmtId="169" fontId="17" fillId="10" borderId="31" xfId="0" applyNumberFormat="1" applyFont="1" applyFill="1" applyBorder="1" applyAlignment="1">
      <alignment horizontal="center"/>
    </xf>
    <xf numFmtId="0" fontId="17" fillId="10" borderId="31" xfId="0" applyFont="1" applyFill="1" applyBorder="1" applyAlignment="1">
      <alignment horizontal="center"/>
    </xf>
    <xf numFmtId="4" fontId="3" fillId="7" borderId="51" xfId="0" applyNumberFormat="1" applyFont="1" applyFill="1" applyBorder="1" applyAlignment="1">
      <alignment horizontal="center" vertical="center"/>
    </xf>
    <xf numFmtId="4" fontId="3" fillId="7" borderId="49" xfId="0" applyNumberFormat="1" applyFont="1" applyFill="1" applyBorder="1" applyAlignment="1">
      <alignment horizontal="center" vertical="center"/>
    </xf>
    <xf numFmtId="17" fontId="17" fillId="10" borderId="49" xfId="0" applyNumberFormat="1" applyFont="1" applyFill="1" applyBorder="1" applyAlignment="1">
      <alignment horizontal="center"/>
    </xf>
    <xf numFmtId="0" fontId="0" fillId="0" borderId="0" xfId="0" applyFont="1" applyAlignment="1"/>
    <xf numFmtId="49" fontId="17" fillId="10" borderId="49" xfId="0" applyNumberFormat="1" applyFont="1" applyFill="1" applyBorder="1" applyAlignment="1">
      <alignment horizontal="center"/>
    </xf>
    <xf numFmtId="49" fontId="29" fillId="10" borderId="49" xfId="0" applyNumberFormat="1" applyFont="1" applyFill="1" applyBorder="1" applyAlignment="1">
      <alignment horizontal="center"/>
    </xf>
    <xf numFmtId="17" fontId="18" fillId="2" borderId="2" xfId="0" applyNumberFormat="1" applyFont="1" applyFill="1" applyBorder="1" applyAlignment="1">
      <alignment horizontal="center" vertical="center"/>
    </xf>
    <xf numFmtId="0" fontId="0" fillId="0" borderId="0" xfId="0" applyFont="1" applyAlignment="1"/>
    <xf numFmtId="0" fontId="0" fillId="0" borderId="0" xfId="0" applyFont="1" applyAlignment="1"/>
    <xf numFmtId="14" fontId="23" fillId="0" borderId="2" xfId="0" applyNumberFormat="1" applyFont="1" applyFill="1" applyBorder="1" applyAlignment="1">
      <alignment horizontal="center" vertical="center" wrapText="1"/>
    </xf>
    <xf numFmtId="4" fontId="23" fillId="0" borderId="2" xfId="0" applyNumberFormat="1" applyFont="1" applyFill="1" applyBorder="1" applyAlignment="1">
      <alignment horizontal="center" vertical="center" wrapText="1"/>
    </xf>
    <xf numFmtId="165" fontId="23" fillId="0" borderId="2" xfId="0" applyNumberFormat="1" applyFont="1" applyFill="1" applyBorder="1" applyAlignment="1">
      <alignment horizontal="center" vertical="center" wrapText="1"/>
    </xf>
    <xf numFmtId="9" fontId="23" fillId="0" borderId="2" xfId="0" applyNumberFormat="1" applyFont="1" applyFill="1" applyBorder="1" applyAlignment="1">
      <alignment horizontal="center" vertical="center" wrapText="1"/>
    </xf>
    <xf numFmtId="164" fontId="23" fillId="0" borderId="12" xfId="0" applyNumberFormat="1" applyFont="1" applyFill="1" applyBorder="1" applyAlignment="1">
      <alignment horizontal="center" vertical="center" wrapText="1"/>
    </xf>
    <xf numFmtId="14" fontId="2" fillId="0" borderId="50" xfId="0" applyNumberFormat="1" applyFont="1" applyFill="1" applyBorder="1" applyAlignment="1">
      <alignment horizontal="center" vertical="center"/>
    </xf>
    <xf numFmtId="2" fontId="2" fillId="0" borderId="50" xfId="0" applyNumberFormat="1" applyFont="1" applyFill="1" applyBorder="1" applyAlignment="1">
      <alignment horizontal="center" vertical="center"/>
    </xf>
    <xf numFmtId="164" fontId="2" fillId="0" borderId="50" xfId="0" applyNumberFormat="1" applyFont="1" applyFill="1" applyBorder="1" applyAlignment="1">
      <alignment horizontal="center" vertical="center"/>
    </xf>
    <xf numFmtId="0" fontId="2" fillId="0" borderId="0" xfId="0" applyFont="1" applyFill="1" applyAlignment="1"/>
    <xf numFmtId="14" fontId="1" fillId="0" borderId="50" xfId="0" applyNumberFormat="1" applyFont="1" applyFill="1" applyBorder="1" applyAlignment="1">
      <alignment horizontal="center" vertical="center"/>
    </xf>
    <xf numFmtId="14" fontId="23" fillId="0" borderId="2" xfId="0" quotePrefix="1" applyNumberFormat="1" applyFont="1" applyFill="1" applyBorder="1" applyAlignment="1">
      <alignment horizontal="center" vertical="center" wrapText="1"/>
    </xf>
    <xf numFmtId="2" fontId="1" fillId="0" borderId="50" xfId="0" applyNumberFormat="1" applyFont="1" applyFill="1" applyBorder="1" applyAlignment="1">
      <alignment horizontal="center" vertical="center"/>
    </xf>
    <xf numFmtId="0" fontId="23" fillId="0" borderId="12" xfId="0" applyFont="1" applyFill="1" applyBorder="1" applyAlignment="1">
      <alignment horizontal="center" vertical="center" wrapText="1"/>
    </xf>
    <xf numFmtId="167" fontId="23" fillId="0" borderId="2" xfId="0" applyNumberFormat="1" applyFont="1" applyFill="1" applyBorder="1" applyAlignment="1">
      <alignment horizontal="center" vertical="center" wrapText="1"/>
    </xf>
    <xf numFmtId="170" fontId="23" fillId="0" borderId="2" xfId="0" applyNumberFormat="1" applyFont="1" applyFill="1" applyBorder="1" applyAlignment="1">
      <alignment horizontal="center" vertical="center" wrapText="1"/>
    </xf>
    <xf numFmtId="170" fontId="2" fillId="0" borderId="50" xfId="0" applyNumberFormat="1" applyFont="1" applyFill="1" applyBorder="1" applyAlignment="1">
      <alignment horizontal="center" vertical="center"/>
    </xf>
    <xf numFmtId="0" fontId="23" fillId="12" borderId="2" xfId="0" applyFont="1" applyFill="1" applyBorder="1" applyAlignment="1">
      <alignment horizontal="center" vertical="center" wrapText="1"/>
    </xf>
    <xf numFmtId="0" fontId="2" fillId="12" borderId="0" xfId="0" applyFont="1" applyFill="1" applyAlignment="1">
      <alignment horizontal="left" vertical="center" wrapText="1"/>
    </xf>
    <xf numFmtId="4" fontId="23" fillId="12" borderId="2" xfId="0" applyNumberFormat="1" applyFont="1" applyFill="1" applyBorder="1" applyAlignment="1">
      <alignment horizontal="center" vertical="center" wrapText="1"/>
    </xf>
    <xf numFmtId="44" fontId="5" fillId="7" borderId="2" xfId="0" applyNumberFormat="1" applyFont="1" applyFill="1" applyBorder="1" applyAlignment="1">
      <alignment horizontal="center" vertical="center" wrapText="1"/>
    </xf>
    <xf numFmtId="0" fontId="17" fillId="10" borderId="49" xfId="0" applyNumberFormat="1" applyFont="1" applyFill="1" applyBorder="1" applyAlignment="1">
      <alignment horizontal="center"/>
    </xf>
    <xf numFmtId="17" fontId="29" fillId="10" borderId="49" xfId="0" applyNumberFormat="1" applyFont="1" applyFill="1" applyBorder="1" applyAlignment="1">
      <alignment horizontal="center"/>
    </xf>
    <xf numFmtId="164" fontId="34" fillId="7" borderId="2" xfId="0" applyNumberFormat="1" applyFont="1" applyFill="1" applyBorder="1" applyAlignment="1">
      <alignment horizontal="center" vertical="center" wrapText="1"/>
    </xf>
    <xf numFmtId="0" fontId="0" fillId="0" borderId="0" xfId="0" applyFont="1" applyAlignment="1"/>
    <xf numFmtId="0" fontId="23" fillId="0" borderId="2" xfId="0" applyFont="1" applyFill="1" applyBorder="1" applyAlignment="1">
      <alignment horizontal="left" vertical="top" wrapText="1"/>
    </xf>
    <xf numFmtId="0" fontId="23" fillId="0" borderId="2" xfId="0" quotePrefix="1" applyFont="1" applyFill="1" applyBorder="1" applyAlignment="1">
      <alignment horizontal="left" vertical="top" wrapText="1"/>
    </xf>
    <xf numFmtId="0" fontId="2" fillId="0" borderId="0" xfId="0" applyFont="1" applyAlignment="1">
      <alignment horizontal="left" vertical="top" wrapText="1"/>
    </xf>
    <xf numFmtId="0" fontId="25" fillId="5" borderId="3" xfId="0" applyFont="1" applyFill="1" applyBorder="1" applyAlignment="1">
      <alignment horizontal="center" vertical="center" wrapText="1"/>
    </xf>
    <xf numFmtId="0" fontId="26" fillId="0" borderId="4" xfId="0" applyFont="1" applyBorder="1"/>
    <xf numFmtId="0" fontId="26" fillId="0" borderId="5" xfId="0" applyFont="1" applyBorder="1"/>
    <xf numFmtId="0" fontId="10" fillId="0" borderId="15" xfId="0" applyFont="1" applyBorder="1" applyAlignment="1">
      <alignment horizontal="center" vertical="center" textRotation="90"/>
    </xf>
    <xf numFmtId="0" fontId="7" fillId="0" borderId="23" xfId="0" applyFont="1" applyBorder="1"/>
    <xf numFmtId="0" fontId="7" fillId="0" borderId="37" xfId="0" applyFont="1" applyBorder="1"/>
    <xf numFmtId="0" fontId="11" fillId="8" borderId="16" xfId="0" applyFont="1" applyFill="1" applyBorder="1" applyAlignment="1">
      <alignment horizontal="left" vertical="center"/>
    </xf>
    <xf numFmtId="0" fontId="7" fillId="0" borderId="17" xfId="0" applyFont="1" applyBorder="1"/>
    <xf numFmtId="0" fontId="7" fillId="0" borderId="18" xfId="0" applyFont="1" applyBorder="1"/>
    <xf numFmtId="168" fontId="12" fillId="2" borderId="19" xfId="0" applyNumberFormat="1" applyFont="1" applyFill="1" applyBorder="1" applyAlignment="1">
      <alignment horizontal="center" vertical="center"/>
    </xf>
    <xf numFmtId="0" fontId="7" fillId="0" borderId="20" xfId="0" applyFont="1" applyBorder="1"/>
    <xf numFmtId="0" fontId="12" fillId="2" borderId="29" xfId="0" applyFont="1" applyFill="1" applyBorder="1" applyAlignment="1">
      <alignment horizontal="center" vertical="center"/>
    </xf>
    <xf numFmtId="0" fontId="7" fillId="0" borderId="5" xfId="0" applyFont="1" applyBorder="1"/>
    <xf numFmtId="0" fontId="11" fillId="8" borderId="24" xfId="0" applyFont="1" applyFill="1" applyBorder="1" applyAlignment="1">
      <alignment horizontal="left" vertical="center"/>
    </xf>
    <xf numFmtId="0" fontId="7" fillId="0" borderId="13" xfId="0" applyFont="1" applyBorder="1"/>
    <xf numFmtId="0" fontId="7" fillId="0" borderId="25" xfId="0" applyFont="1" applyBorder="1"/>
    <xf numFmtId="0" fontId="12" fillId="2" borderId="12" xfId="0" applyFont="1" applyFill="1" applyBorder="1" applyAlignment="1">
      <alignment horizontal="center" vertical="center"/>
    </xf>
    <xf numFmtId="0" fontId="12" fillId="2" borderId="6" xfId="0" applyFont="1" applyFill="1" applyBorder="1" applyAlignment="1">
      <alignment horizontal="center" vertical="center"/>
    </xf>
    <xf numFmtId="0" fontId="7" fillId="0" borderId="35" xfId="0" applyFont="1" applyBorder="1"/>
    <xf numFmtId="168" fontId="12" fillId="2" borderId="50" xfId="0" applyNumberFormat="1" applyFont="1" applyFill="1" applyBorder="1" applyAlignment="1">
      <alignment horizontal="center" vertical="center"/>
    </xf>
    <xf numFmtId="0" fontId="7" fillId="0" borderId="50" xfId="0" applyFont="1" applyBorder="1"/>
    <xf numFmtId="2" fontId="3" fillId="2" borderId="6" xfId="0" applyNumberFormat="1" applyFont="1" applyFill="1" applyBorder="1" applyAlignment="1">
      <alignment horizontal="center"/>
    </xf>
    <xf numFmtId="2" fontId="7" fillId="0" borderId="7" xfId="0" applyNumberFormat="1" applyFont="1" applyBorder="1"/>
    <xf numFmtId="2" fontId="7" fillId="0" borderId="8" xfId="0" applyNumberFormat="1" applyFont="1" applyBorder="1"/>
    <xf numFmtId="2" fontId="7" fillId="0" borderId="9" xfId="0" applyNumberFormat="1" applyFont="1" applyBorder="1"/>
    <xf numFmtId="2" fontId="7" fillId="0" borderId="10" xfId="0" applyNumberFormat="1" applyFont="1" applyBorder="1"/>
    <xf numFmtId="2" fontId="7" fillId="0" borderId="11" xfId="0" applyNumberFormat="1" applyFont="1" applyBorder="1"/>
    <xf numFmtId="164" fontId="3" fillId="2" borderId="6" xfId="0" applyNumberFormat="1" applyFont="1" applyFill="1" applyBorder="1" applyAlignment="1">
      <alignment horizontal="center"/>
    </xf>
    <xf numFmtId="164" fontId="7" fillId="0" borderId="7" xfId="0" applyNumberFormat="1" applyFont="1" applyBorder="1"/>
    <xf numFmtId="164" fontId="7" fillId="0" borderId="8" xfId="0" applyNumberFormat="1" applyFont="1" applyBorder="1"/>
    <xf numFmtId="164" fontId="7" fillId="0" borderId="9" xfId="0" applyNumberFormat="1" applyFont="1" applyBorder="1"/>
    <xf numFmtId="164" fontId="7" fillId="0" borderId="10" xfId="0" applyNumberFormat="1" applyFont="1" applyBorder="1"/>
    <xf numFmtId="164" fontId="7" fillId="0" borderId="11" xfId="0" applyNumberFormat="1" applyFont="1" applyBorder="1"/>
    <xf numFmtId="9" fontId="13" fillId="2" borderId="35" xfId="0" applyNumberFormat="1" applyFont="1" applyFill="1" applyBorder="1" applyAlignment="1">
      <alignment horizontal="center" vertical="center"/>
    </xf>
    <xf numFmtId="0" fontId="7" fillId="0" borderId="36" xfId="0" applyFont="1" applyBorder="1"/>
    <xf numFmtId="0" fontId="7" fillId="0" borderId="44" xfId="0" applyFont="1" applyBorder="1"/>
    <xf numFmtId="0" fontId="7" fillId="0" borderId="45" xfId="0" applyFont="1" applyBorder="1"/>
    <xf numFmtId="0" fontId="11" fillId="9" borderId="38" xfId="0" applyFont="1" applyFill="1" applyBorder="1" applyAlignment="1">
      <alignment horizontal="left" vertical="center"/>
    </xf>
    <xf numFmtId="0" fontId="7" fillId="0" borderId="39" xfId="0" applyFont="1" applyBorder="1"/>
    <xf numFmtId="0" fontId="7" fillId="0" borderId="40" xfId="0" applyFont="1" applyBorder="1"/>
    <xf numFmtId="0" fontId="12" fillId="2" borderId="12" xfId="0" applyFont="1" applyFill="1" applyBorder="1" applyAlignment="1">
      <alignment horizontal="center" vertical="center" wrapText="1"/>
    </xf>
    <xf numFmtId="0" fontId="7" fillId="0" borderId="14" xfId="0" applyFont="1" applyBorder="1"/>
    <xf numFmtId="0" fontId="15" fillId="2" borderId="15" xfId="0" applyFont="1" applyFill="1" applyBorder="1" applyAlignment="1">
      <alignment horizontal="center" vertical="center"/>
    </xf>
    <xf numFmtId="0" fontId="7" fillId="0" borderId="47" xfId="0" applyFont="1" applyBorder="1"/>
    <xf numFmtId="0" fontId="7" fillId="0" borderId="22" xfId="0" applyFont="1" applyBorder="1"/>
    <xf numFmtId="0" fontId="0" fillId="0" borderId="0" xfId="0" applyFont="1" applyAlignment="1"/>
    <xf numFmtId="0" fontId="7" fillId="0" borderId="28" xfId="0" applyFont="1" applyBorder="1"/>
    <xf numFmtId="0" fontId="7" fillId="0" borderId="48" xfId="0" applyFont="1" applyBorder="1"/>
    <xf numFmtId="0" fontId="27" fillId="2" borderId="15" xfId="0" applyFont="1" applyFill="1" applyBorder="1" applyAlignment="1">
      <alignment horizontal="left" vertical="top" wrapText="1"/>
    </xf>
    <xf numFmtId="0" fontId="28" fillId="0" borderId="47" xfId="0" applyFont="1" applyBorder="1" applyAlignment="1">
      <alignment vertical="top"/>
    </xf>
    <xf numFmtId="0" fontId="28" fillId="0" borderId="22" xfId="0" applyFont="1" applyBorder="1" applyAlignment="1">
      <alignment vertical="top"/>
    </xf>
    <xf numFmtId="0" fontId="28" fillId="0" borderId="23" xfId="0" applyFont="1" applyBorder="1" applyAlignment="1">
      <alignment vertical="top"/>
    </xf>
    <xf numFmtId="0" fontId="30" fillId="0" borderId="0" xfId="0" applyFont="1" applyAlignment="1">
      <alignment vertical="top"/>
    </xf>
    <xf numFmtId="0" fontId="28" fillId="0" borderId="28" xfId="0" applyFont="1" applyBorder="1" applyAlignment="1">
      <alignment vertical="top"/>
    </xf>
    <xf numFmtId="0" fontId="28" fillId="0" borderId="37" xfId="0" applyFont="1" applyBorder="1" applyAlignment="1">
      <alignment vertical="top"/>
    </xf>
    <xf numFmtId="0" fontId="28" fillId="0" borderId="48" xfId="0" applyFont="1" applyBorder="1" applyAlignment="1">
      <alignment vertical="top"/>
    </xf>
    <xf numFmtId="0" fontId="28" fillId="0" borderId="45" xfId="0" applyFont="1" applyBorder="1" applyAlignment="1">
      <alignment vertical="top"/>
    </xf>
    <xf numFmtId="0" fontId="10" fillId="2" borderId="52" xfId="0" applyFont="1" applyFill="1" applyBorder="1" applyAlignment="1">
      <alignment horizontal="center" vertical="center" textRotation="90"/>
    </xf>
    <xf numFmtId="0" fontId="7" fillId="0" borderId="59" xfId="0" applyFont="1" applyBorder="1"/>
    <xf numFmtId="0" fontId="7" fillId="0" borderId="63" xfId="0" applyFont="1" applyBorder="1"/>
    <xf numFmtId="0" fontId="11" fillId="8" borderId="53" xfId="0" applyFont="1" applyFill="1" applyBorder="1" applyAlignment="1">
      <alignment horizontal="left" vertical="center"/>
    </xf>
    <xf numFmtId="0" fontId="7" fillId="0" borderId="54" xfId="0" applyFont="1" applyBorder="1"/>
    <xf numFmtId="9" fontId="10" fillId="0" borderId="57" xfId="0" applyNumberFormat="1" applyFont="1" applyBorder="1" applyAlignment="1">
      <alignment horizontal="center" vertical="center" wrapText="1"/>
    </xf>
    <xf numFmtId="0" fontId="7" fillId="0" borderId="58" xfId="0" applyFont="1" applyBorder="1"/>
    <xf numFmtId="0" fontId="7" fillId="0" borderId="46" xfId="0" applyFont="1" applyBorder="1"/>
    <xf numFmtId="0" fontId="7" fillId="0" borderId="60" xfId="0" applyFont="1" applyBorder="1"/>
    <xf numFmtId="0" fontId="7" fillId="0" borderId="31" xfId="0" applyFont="1" applyBorder="1"/>
    <xf numFmtId="0" fontId="7" fillId="0" borderId="61" xfId="0" applyFont="1" applyBorder="1"/>
    <xf numFmtId="164" fontId="20" fillId="2" borderId="12" xfId="0" applyNumberFormat="1" applyFont="1" applyFill="1" applyBorder="1" applyAlignment="1">
      <alignment horizontal="center" vertical="center" wrapText="1"/>
    </xf>
    <xf numFmtId="164" fontId="21" fillId="0" borderId="25" xfId="0" applyNumberFormat="1" applyFont="1" applyBorder="1"/>
    <xf numFmtId="164" fontId="21" fillId="0" borderId="26" xfId="0" applyNumberFormat="1" applyFont="1" applyBorder="1"/>
    <xf numFmtId="164" fontId="20" fillId="2" borderId="55" xfId="0" applyNumberFormat="1" applyFont="1" applyFill="1" applyBorder="1" applyAlignment="1">
      <alignment horizontal="center" vertical="center" wrapText="1"/>
    </xf>
    <xf numFmtId="164" fontId="21" fillId="0" borderId="54" xfId="0" applyNumberFormat="1" applyFont="1" applyBorder="1"/>
    <xf numFmtId="164" fontId="21" fillId="0" borderId="56" xfId="0" applyNumberFormat="1" applyFont="1" applyBorder="1"/>
    <xf numFmtId="9" fontId="13" fillId="2" borderId="6" xfId="0" applyNumberFormat="1" applyFont="1" applyFill="1" applyBorder="1" applyAlignment="1">
      <alignment horizontal="center" vertical="center"/>
    </xf>
    <xf numFmtId="0" fontId="7" fillId="0" borderId="62" xfId="0" applyFont="1" applyBorder="1"/>
    <xf numFmtId="0" fontId="7" fillId="0" borderId="68" xfId="0" applyFont="1" applyBorder="1"/>
    <xf numFmtId="0" fontId="7" fillId="0" borderId="69" xfId="0" applyFont="1" applyBorder="1"/>
    <xf numFmtId="0" fontId="11" fillId="9" borderId="64" xfId="0" applyFont="1" applyFill="1" applyBorder="1" applyAlignment="1">
      <alignment horizontal="left" vertical="center"/>
    </xf>
    <xf numFmtId="0" fontId="7" fillId="0" borderId="65" xfId="0" applyFont="1" applyBorder="1"/>
    <xf numFmtId="164" fontId="20" fillId="9" borderId="66" xfId="0" applyNumberFormat="1" applyFont="1" applyFill="1" applyBorder="1" applyAlignment="1">
      <alignment horizontal="center" vertical="center" wrapText="1"/>
    </xf>
    <xf numFmtId="164" fontId="21" fillId="0" borderId="65" xfId="0" applyNumberFormat="1" applyFont="1" applyBorder="1"/>
    <xf numFmtId="164" fontId="21" fillId="0" borderId="67" xfId="0" applyNumberFormat="1" applyFont="1" applyBorder="1"/>
    <xf numFmtId="164" fontId="20" fillId="9" borderId="12" xfId="0" applyNumberFormat="1" applyFont="1" applyFill="1" applyBorder="1" applyAlignment="1">
      <alignment horizontal="center" vertical="center" wrapText="1"/>
    </xf>
    <xf numFmtId="0" fontId="11" fillId="9" borderId="24" xfId="0" applyFont="1" applyFill="1" applyBorder="1" applyAlignment="1">
      <alignment horizontal="left" vertical="center"/>
    </xf>
    <xf numFmtId="0" fontId="12" fillId="9" borderId="31" xfId="0" applyFont="1" applyFill="1" applyBorder="1" applyAlignment="1">
      <alignment horizontal="center" vertical="center"/>
    </xf>
    <xf numFmtId="0" fontId="7" fillId="0" borderId="33" xfId="0" applyFont="1" applyBorder="1"/>
    <xf numFmtId="0" fontId="3" fillId="2" borderId="12" xfId="0" applyFont="1" applyFill="1" applyBorder="1" applyAlignment="1">
      <alignment horizontal="center"/>
    </xf>
    <xf numFmtId="168" fontId="12" fillId="9" borderId="41" xfId="0" applyNumberFormat="1" applyFont="1" applyFill="1" applyBorder="1" applyAlignment="1">
      <alignment horizontal="center" vertical="center"/>
    </xf>
    <xf numFmtId="0" fontId="7" fillId="0" borderId="42" xfId="0" applyFont="1" applyBorder="1"/>
    <xf numFmtId="0" fontId="7" fillId="0" borderId="43" xfId="0" applyFont="1" applyBorder="1"/>
    <xf numFmtId="9" fontId="10" fillId="2" borderId="21" xfId="0" applyNumberFormat="1" applyFont="1" applyFill="1" applyBorder="1" applyAlignment="1">
      <alignment horizontal="center" vertical="center" wrapText="1"/>
    </xf>
    <xf numFmtId="0" fontId="7" fillId="0" borderId="27" xfId="0" applyFont="1" applyBorder="1"/>
    <xf numFmtId="0" fontId="7" fillId="0" borderId="34" xfId="0" applyFont="1" applyBorder="1"/>
    <xf numFmtId="0" fontId="0" fillId="0" borderId="0" xfId="0" applyFont="1" applyAlignment="1">
      <alignment horizontal="center"/>
    </xf>
    <xf numFmtId="10" fontId="3" fillId="2" borderId="6" xfId="0" applyNumberFormat="1" applyFont="1" applyFill="1" applyBorder="1" applyAlignment="1">
      <alignment horizontal="center"/>
    </xf>
    <xf numFmtId="10" fontId="7" fillId="0" borderId="7" xfId="0" applyNumberFormat="1" applyFont="1" applyBorder="1"/>
    <xf numFmtId="10" fontId="7" fillId="0" borderId="8" xfId="0" applyNumberFormat="1" applyFont="1" applyBorder="1"/>
    <xf numFmtId="10" fontId="7" fillId="0" borderId="9" xfId="0" applyNumberFormat="1" applyFont="1" applyBorder="1"/>
    <xf numFmtId="10" fontId="7" fillId="0" borderId="10" xfId="0" applyNumberFormat="1" applyFont="1" applyBorder="1"/>
    <xf numFmtId="10" fontId="7" fillId="0" borderId="11" xfId="0" applyNumberFormat="1" applyFont="1" applyBorder="1"/>
    <xf numFmtId="0" fontId="6" fillId="5" borderId="3" xfId="0" applyFont="1" applyFill="1" applyBorder="1" applyAlignment="1">
      <alignment horizontal="center" vertical="center" wrapText="1"/>
    </xf>
    <xf numFmtId="0" fontId="7" fillId="0" borderId="4" xfId="0" applyFont="1" applyBorder="1"/>
    <xf numFmtId="0" fontId="27" fillId="2" borderId="12" xfId="0" applyFont="1" applyFill="1" applyBorder="1" applyAlignment="1">
      <alignment horizontal="center" vertical="center" wrapText="1"/>
    </xf>
    <xf numFmtId="0" fontId="28" fillId="0" borderId="13" xfId="0" applyFont="1" applyBorder="1"/>
    <xf numFmtId="0" fontId="28" fillId="0" borderId="14" xfId="0" applyFont="1" applyBorder="1"/>
    <xf numFmtId="0" fontId="31" fillId="2" borderId="15" xfId="0" applyFont="1" applyFill="1" applyBorder="1" applyAlignment="1">
      <alignment horizontal="left" vertical="top" wrapText="1"/>
    </xf>
    <xf numFmtId="0" fontId="32" fillId="0" borderId="47" xfId="0" applyFont="1" applyBorder="1" applyAlignment="1">
      <alignment vertical="top"/>
    </xf>
    <xf numFmtId="0" fontId="32" fillId="0" borderId="22" xfId="0" applyFont="1" applyBorder="1" applyAlignment="1">
      <alignment vertical="top"/>
    </xf>
    <xf numFmtId="0" fontId="32" fillId="0" borderId="23" xfId="0" applyFont="1" applyBorder="1" applyAlignment="1">
      <alignment vertical="top"/>
    </xf>
    <xf numFmtId="0" fontId="33" fillId="0" borderId="0" xfId="0" applyFont="1" applyAlignment="1">
      <alignment vertical="top"/>
    </xf>
    <xf numFmtId="0" fontId="32" fillId="0" borderId="28" xfId="0" applyFont="1" applyBorder="1" applyAlignment="1">
      <alignment vertical="top"/>
    </xf>
    <xf numFmtId="0" fontId="32" fillId="0" borderId="37" xfId="0" applyFont="1" applyBorder="1" applyAlignment="1">
      <alignment vertical="top"/>
    </xf>
    <xf numFmtId="0" fontId="32" fillId="0" borderId="48" xfId="0" applyFont="1" applyBorder="1" applyAlignment="1">
      <alignment vertical="top"/>
    </xf>
    <xf numFmtId="0" fontId="32" fillId="0" borderId="45" xfId="0" applyFont="1" applyBorder="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schemas.openxmlformats.org/officeDocument/2006/relationships/styles" Target="styles.xml"/><Relationship Id="rId3" Type="http://schemas.openxmlformats.org/officeDocument/2006/relationships/worksheet" Target="worksheets/sheet3.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9" Type="http://schemas.openxmlformats.org/officeDocument/2006/relationships/sharedStrings" Target="sharedStrings.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5519081734198E-2"/>
          <c:y val="0.11193420129414516"/>
          <c:w val="0.90829277676986131"/>
          <c:h val="0.68164543068480077"/>
        </c:manualLayout>
      </c:layout>
      <c:lineChart>
        <c:grouping val="standard"/>
        <c:varyColors val="1"/>
        <c:ser>
          <c:idx val="3"/>
          <c:order val="0"/>
          <c:tx>
            <c:v>Financiero Ejecutado</c:v>
          </c:tx>
          <c:spPr>
            <a:ln w="28575" cmpd="sng">
              <a:solidFill>
                <a:schemeClr val="accent6"/>
              </a:solidFill>
              <a:prstDash val="dash"/>
            </a:ln>
          </c:spPr>
          <c:cat>
            <c:strRef>
              <c:f>'6. Garza Nosara'!$AN$6:$AN$48</c:f>
              <c:strCache>
                <c:ptCount val="4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pt idx="13">
                  <c:v>dic-20</c:v>
                </c:pt>
                <c:pt idx="14">
                  <c:v>ene-21</c:v>
                </c:pt>
                <c:pt idx="15">
                  <c:v>feb-21</c:v>
                </c:pt>
                <c:pt idx="16">
                  <c:v>mar-21</c:v>
                </c:pt>
                <c:pt idx="17">
                  <c:v>abr-21</c:v>
                </c:pt>
                <c:pt idx="18">
                  <c:v>may-21</c:v>
                </c:pt>
                <c:pt idx="19">
                  <c:v>jun-21</c:v>
                </c:pt>
                <c:pt idx="20">
                  <c:v>jul-21</c:v>
                </c:pt>
                <c:pt idx="21">
                  <c:v>ago-21</c:v>
                </c:pt>
                <c:pt idx="22">
                  <c:v>sep-21</c:v>
                </c:pt>
                <c:pt idx="23">
                  <c:v>oct-21</c:v>
                </c:pt>
                <c:pt idx="24">
                  <c:v>nov-21</c:v>
                </c:pt>
                <c:pt idx="25">
                  <c:v>dic-21</c:v>
                </c:pt>
                <c:pt idx="26">
                  <c:v>ene-22</c:v>
                </c:pt>
                <c:pt idx="27">
                  <c:v>feb-22</c:v>
                </c:pt>
                <c:pt idx="28">
                  <c:v>mar-22</c:v>
                </c:pt>
                <c:pt idx="29">
                  <c:v>abr-22</c:v>
                </c:pt>
                <c:pt idx="30">
                  <c:v>may-22</c:v>
                </c:pt>
                <c:pt idx="31">
                  <c:v>jun-22</c:v>
                </c:pt>
                <c:pt idx="32">
                  <c:v>jul-22</c:v>
                </c:pt>
                <c:pt idx="33">
                  <c:v>ago-22</c:v>
                </c:pt>
                <c:pt idx="34">
                  <c:v>sep-22</c:v>
                </c:pt>
                <c:pt idx="35">
                  <c:v>oct-22</c:v>
                </c:pt>
                <c:pt idx="36">
                  <c:v>nov-22</c:v>
                </c:pt>
                <c:pt idx="37">
                  <c:v>dic-22</c:v>
                </c:pt>
                <c:pt idx="38">
                  <c:v>ene-23</c:v>
                </c:pt>
                <c:pt idx="39">
                  <c:v>feb-23</c:v>
                </c:pt>
                <c:pt idx="40">
                  <c:v>mar-23</c:v>
                </c:pt>
                <c:pt idx="41">
                  <c:v>abr-23</c:v>
                </c:pt>
                <c:pt idx="42">
                  <c:v>may-23</c:v>
                </c:pt>
              </c:strCache>
            </c:strRef>
          </c:cat>
          <c:val>
            <c:numRef>
              <c:f>'6. Garza Nosara'!$AQ$6:$AQ$48</c:f>
              <c:numCache>
                <c:formatCode>_("₡"* #,##0.00_);_("₡"* \(#,##0.00\);_("₡"* "-"??_);_(@_)</c:formatCode>
                <c:ptCount val="43"/>
                <c:pt idx="0">
                  <c:v>0</c:v>
                </c:pt>
                <c:pt idx="1">
                  <c:v>0</c:v>
                </c:pt>
                <c:pt idx="2">
                  <c:v>0</c:v>
                </c:pt>
                <c:pt idx="3">
                  <c:v>0</c:v>
                </c:pt>
                <c:pt idx="4">
                  <c:v>66.75</c:v>
                </c:pt>
                <c:pt idx="5">
                  <c:v>122.02</c:v>
                </c:pt>
                <c:pt idx="6">
                  <c:v>122.02</c:v>
                </c:pt>
                <c:pt idx="7">
                  <c:v>122.02</c:v>
                </c:pt>
                <c:pt idx="8">
                  <c:v>122.02</c:v>
                </c:pt>
                <c:pt idx="9">
                  <c:v>122.02</c:v>
                </c:pt>
                <c:pt idx="10">
                  <c:v>129.78</c:v>
                </c:pt>
                <c:pt idx="11">
                  <c:v>129.78</c:v>
                </c:pt>
                <c:pt idx="12">
                  <c:v>129.78</c:v>
                </c:pt>
                <c:pt idx="13">
                  <c:v>129.78</c:v>
                </c:pt>
                <c:pt idx="14">
                  <c:v>129.78</c:v>
                </c:pt>
                <c:pt idx="15">
                  <c:v>129.78</c:v>
                </c:pt>
                <c:pt idx="16">
                  <c:v>129.78</c:v>
                </c:pt>
                <c:pt idx="17">
                  <c:v>129.78</c:v>
                </c:pt>
                <c:pt idx="18">
                  <c:v>129.78</c:v>
                </c:pt>
                <c:pt idx="19">
                  <c:v>129.78</c:v>
                </c:pt>
                <c:pt idx="20">
                  <c:v>129.78</c:v>
                </c:pt>
                <c:pt idx="21">
                  <c:v>129.78</c:v>
                </c:pt>
                <c:pt idx="22">
                  <c:v>129.78</c:v>
                </c:pt>
                <c:pt idx="23">
                  <c:v>129.78</c:v>
                </c:pt>
                <c:pt idx="24">
                  <c:v>129.78</c:v>
                </c:pt>
                <c:pt idx="25">
                  <c:v>129.78</c:v>
                </c:pt>
                <c:pt idx="26">
                  <c:v>129.78</c:v>
                </c:pt>
                <c:pt idx="27">
                  <c:v>129.78</c:v>
                </c:pt>
                <c:pt idx="28">
                  <c:v>129.78</c:v>
                </c:pt>
                <c:pt idx="29">
                  <c:v>129.78</c:v>
                </c:pt>
                <c:pt idx="30">
                  <c:v>129.78</c:v>
                </c:pt>
                <c:pt idx="31">
                  <c:v>191.01</c:v>
                </c:pt>
                <c:pt idx="32">
                  <c:v>191.01</c:v>
                </c:pt>
                <c:pt idx="33">
                  <c:v>374.03999999999996</c:v>
                </c:pt>
                <c:pt idx="34">
                  <c:v>701.98</c:v>
                </c:pt>
                <c:pt idx="35">
                  <c:v>701.98</c:v>
                </c:pt>
                <c:pt idx="36">
                  <c:v>817.39</c:v>
                </c:pt>
                <c:pt idx="37">
                  <c:v>920.57999999999993</c:v>
                </c:pt>
                <c:pt idx="38">
                  <c:v>1091.21</c:v>
                </c:pt>
                <c:pt idx="39">
                  <c:v>1161.67</c:v>
                </c:pt>
                <c:pt idx="40">
                  <c:v>1161.67</c:v>
                </c:pt>
                <c:pt idx="41">
                  <c:v>1237.51</c:v>
                </c:pt>
                <c:pt idx="42">
                  <c:v>1313.35</c:v>
                </c:pt>
              </c:numCache>
            </c:numRef>
          </c:val>
          <c:smooth val="0"/>
          <c:extLst>
            <c:ext xmlns:c16="http://schemas.microsoft.com/office/drawing/2014/chart" uri="{C3380CC4-5D6E-409C-BE32-E72D297353CC}">
              <c16:uniqueId val="{00000006-96DF-4694-AAAA-A7098A58C80C}"/>
            </c:ext>
          </c:extLst>
        </c:ser>
        <c:ser>
          <c:idx val="4"/>
          <c:order val="1"/>
          <c:tx>
            <c:v>Línea Base (mill)</c:v>
          </c:tx>
          <c:spPr>
            <a:ln w="28575" cmpd="sng">
              <a:solidFill>
                <a:srgbClr val="0070C0">
                  <a:alpha val="100000"/>
                </a:srgbClr>
              </a:solidFill>
            </a:ln>
          </c:spPr>
          <c:cat>
            <c:strRef>
              <c:f>'6. Garza Nosara'!$AN$6:$AN$48</c:f>
              <c:strCache>
                <c:ptCount val="4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pt idx="13">
                  <c:v>dic-20</c:v>
                </c:pt>
                <c:pt idx="14">
                  <c:v>ene-21</c:v>
                </c:pt>
                <c:pt idx="15">
                  <c:v>feb-21</c:v>
                </c:pt>
                <c:pt idx="16">
                  <c:v>mar-21</c:v>
                </c:pt>
                <c:pt idx="17">
                  <c:v>abr-21</c:v>
                </c:pt>
                <c:pt idx="18">
                  <c:v>may-21</c:v>
                </c:pt>
                <c:pt idx="19">
                  <c:v>jun-21</c:v>
                </c:pt>
                <c:pt idx="20">
                  <c:v>jul-21</c:v>
                </c:pt>
                <c:pt idx="21">
                  <c:v>ago-21</c:v>
                </c:pt>
                <c:pt idx="22">
                  <c:v>sep-21</c:v>
                </c:pt>
                <c:pt idx="23">
                  <c:v>oct-21</c:v>
                </c:pt>
                <c:pt idx="24">
                  <c:v>nov-21</c:v>
                </c:pt>
                <c:pt idx="25">
                  <c:v>dic-21</c:v>
                </c:pt>
                <c:pt idx="26">
                  <c:v>ene-22</c:v>
                </c:pt>
                <c:pt idx="27">
                  <c:v>feb-22</c:v>
                </c:pt>
                <c:pt idx="28">
                  <c:v>mar-22</c:v>
                </c:pt>
                <c:pt idx="29">
                  <c:v>abr-22</c:v>
                </c:pt>
                <c:pt idx="30">
                  <c:v>may-22</c:v>
                </c:pt>
                <c:pt idx="31">
                  <c:v>jun-22</c:v>
                </c:pt>
                <c:pt idx="32">
                  <c:v>jul-22</c:v>
                </c:pt>
                <c:pt idx="33">
                  <c:v>ago-22</c:v>
                </c:pt>
                <c:pt idx="34">
                  <c:v>sep-22</c:v>
                </c:pt>
                <c:pt idx="35">
                  <c:v>oct-22</c:v>
                </c:pt>
                <c:pt idx="36">
                  <c:v>nov-22</c:v>
                </c:pt>
                <c:pt idx="37">
                  <c:v>dic-22</c:v>
                </c:pt>
                <c:pt idx="38">
                  <c:v>ene-23</c:v>
                </c:pt>
                <c:pt idx="39">
                  <c:v>feb-23</c:v>
                </c:pt>
                <c:pt idx="40">
                  <c:v>mar-23</c:v>
                </c:pt>
                <c:pt idx="41">
                  <c:v>abr-23</c:v>
                </c:pt>
                <c:pt idx="42">
                  <c:v>may-23</c:v>
                </c:pt>
              </c:strCache>
            </c:strRef>
          </c:cat>
          <c:val>
            <c:numRef>
              <c:f>'6. Garza Nosara'!$AO$6:$AO$15</c:f>
              <c:numCache>
                <c:formatCode>_("₡"* #,##0.00_);_("₡"* \(#,##0.00\);_("₡"* "-"??_);_(@_)</c:formatCode>
                <c:ptCount val="10"/>
                <c:pt idx="0">
                  <c:v>30.48</c:v>
                </c:pt>
                <c:pt idx="1">
                  <c:v>176.51999999999998</c:v>
                </c:pt>
                <c:pt idx="2">
                  <c:v>267.91999999999996</c:v>
                </c:pt>
                <c:pt idx="3">
                  <c:v>482.28</c:v>
                </c:pt>
                <c:pt idx="4">
                  <c:v>597.44999999999993</c:v>
                </c:pt>
                <c:pt idx="5">
                  <c:v>927.31</c:v>
                </c:pt>
                <c:pt idx="6">
                  <c:v>1025.6599999999999</c:v>
                </c:pt>
                <c:pt idx="7">
                  <c:v>1219.2299999999998</c:v>
                </c:pt>
                <c:pt idx="8">
                  <c:v>1246.0299999999997</c:v>
                </c:pt>
                <c:pt idx="9">
                  <c:v>1291.3199999999997</c:v>
                </c:pt>
              </c:numCache>
            </c:numRef>
          </c:val>
          <c:smooth val="0"/>
          <c:extLst>
            <c:ext xmlns:c16="http://schemas.microsoft.com/office/drawing/2014/chart" uri="{C3380CC4-5D6E-409C-BE32-E72D297353CC}">
              <c16:uniqueId val="{00000007-96DF-4694-AAAA-A7098A58C80C}"/>
            </c:ext>
          </c:extLst>
        </c:ser>
        <c:ser>
          <c:idx val="5"/>
          <c:order val="2"/>
          <c:tx>
            <c:v>Físico Ejecutado</c:v>
          </c:tx>
          <c:spPr>
            <a:ln w="28575" cmpd="sng">
              <a:solidFill>
                <a:schemeClr val="accent4"/>
              </a:solidFill>
              <a:prstDash val="sysDot"/>
            </a:ln>
          </c:spPr>
          <c:cat>
            <c:strRef>
              <c:f>'6. Garza Nosara'!$AN$6:$AN$48</c:f>
              <c:strCache>
                <c:ptCount val="4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pt idx="13">
                  <c:v>dic-20</c:v>
                </c:pt>
                <c:pt idx="14">
                  <c:v>ene-21</c:v>
                </c:pt>
                <c:pt idx="15">
                  <c:v>feb-21</c:v>
                </c:pt>
                <c:pt idx="16">
                  <c:v>mar-21</c:v>
                </c:pt>
                <c:pt idx="17">
                  <c:v>abr-21</c:v>
                </c:pt>
                <c:pt idx="18">
                  <c:v>may-21</c:v>
                </c:pt>
                <c:pt idx="19">
                  <c:v>jun-21</c:v>
                </c:pt>
                <c:pt idx="20">
                  <c:v>jul-21</c:v>
                </c:pt>
                <c:pt idx="21">
                  <c:v>ago-21</c:v>
                </c:pt>
                <c:pt idx="22">
                  <c:v>sep-21</c:v>
                </c:pt>
                <c:pt idx="23">
                  <c:v>oct-21</c:v>
                </c:pt>
                <c:pt idx="24">
                  <c:v>nov-21</c:v>
                </c:pt>
                <c:pt idx="25">
                  <c:v>dic-21</c:v>
                </c:pt>
                <c:pt idx="26">
                  <c:v>ene-22</c:v>
                </c:pt>
                <c:pt idx="27">
                  <c:v>feb-22</c:v>
                </c:pt>
                <c:pt idx="28">
                  <c:v>mar-22</c:v>
                </c:pt>
                <c:pt idx="29">
                  <c:v>abr-22</c:v>
                </c:pt>
                <c:pt idx="30">
                  <c:v>may-22</c:v>
                </c:pt>
                <c:pt idx="31">
                  <c:v>jun-22</c:v>
                </c:pt>
                <c:pt idx="32">
                  <c:v>jul-22</c:v>
                </c:pt>
                <c:pt idx="33">
                  <c:v>ago-22</c:v>
                </c:pt>
                <c:pt idx="34">
                  <c:v>sep-22</c:v>
                </c:pt>
                <c:pt idx="35">
                  <c:v>oct-22</c:v>
                </c:pt>
                <c:pt idx="36">
                  <c:v>nov-22</c:v>
                </c:pt>
                <c:pt idx="37">
                  <c:v>dic-22</c:v>
                </c:pt>
                <c:pt idx="38">
                  <c:v>ene-23</c:v>
                </c:pt>
                <c:pt idx="39">
                  <c:v>feb-23</c:v>
                </c:pt>
                <c:pt idx="40">
                  <c:v>mar-23</c:v>
                </c:pt>
                <c:pt idx="41">
                  <c:v>abr-23</c:v>
                </c:pt>
                <c:pt idx="42">
                  <c:v>may-23</c:v>
                </c:pt>
              </c:strCache>
            </c:strRef>
          </c:cat>
          <c:val>
            <c:numRef>
              <c:f>'6. Garza Nosara'!$AR$6:$AR$48</c:f>
              <c:numCache>
                <c:formatCode>_("₡"* #,##0.00_);_("₡"* \(#,##0.00\);_("₡"* "-"??_);_(@_)</c:formatCode>
                <c:ptCount val="43"/>
                <c:pt idx="0">
                  <c:v>0</c:v>
                </c:pt>
                <c:pt idx="1">
                  <c:v>19.59</c:v>
                </c:pt>
                <c:pt idx="2">
                  <c:v>66.75</c:v>
                </c:pt>
                <c:pt idx="3">
                  <c:v>106.33</c:v>
                </c:pt>
                <c:pt idx="4">
                  <c:v>122.02</c:v>
                </c:pt>
                <c:pt idx="5">
                  <c:v>122.02</c:v>
                </c:pt>
                <c:pt idx="6">
                  <c:v>122.02</c:v>
                </c:pt>
                <c:pt idx="7">
                  <c:v>122.02</c:v>
                </c:pt>
                <c:pt idx="8">
                  <c:v>129.78</c:v>
                </c:pt>
                <c:pt idx="9">
                  <c:v>129.78</c:v>
                </c:pt>
                <c:pt idx="10">
                  <c:v>129.78</c:v>
                </c:pt>
                <c:pt idx="11">
                  <c:v>129.78</c:v>
                </c:pt>
                <c:pt idx="12">
                  <c:v>129.78</c:v>
                </c:pt>
                <c:pt idx="13">
                  <c:v>129.78</c:v>
                </c:pt>
                <c:pt idx="14">
                  <c:v>129.78</c:v>
                </c:pt>
                <c:pt idx="15">
                  <c:v>129.78</c:v>
                </c:pt>
                <c:pt idx="16">
                  <c:v>129.78</c:v>
                </c:pt>
                <c:pt idx="17">
                  <c:v>129.78</c:v>
                </c:pt>
                <c:pt idx="18">
                  <c:v>129.78</c:v>
                </c:pt>
                <c:pt idx="19">
                  <c:v>129.78</c:v>
                </c:pt>
                <c:pt idx="20">
                  <c:v>129.78</c:v>
                </c:pt>
                <c:pt idx="21">
                  <c:v>129.78</c:v>
                </c:pt>
                <c:pt idx="22">
                  <c:v>129.78</c:v>
                </c:pt>
                <c:pt idx="23">
                  <c:v>129.78</c:v>
                </c:pt>
                <c:pt idx="24">
                  <c:v>129.78</c:v>
                </c:pt>
                <c:pt idx="25">
                  <c:v>129.78</c:v>
                </c:pt>
                <c:pt idx="26">
                  <c:v>129.78</c:v>
                </c:pt>
                <c:pt idx="27">
                  <c:v>129.78</c:v>
                </c:pt>
                <c:pt idx="28">
                  <c:v>191.01</c:v>
                </c:pt>
                <c:pt idx="29">
                  <c:v>265.88</c:v>
                </c:pt>
                <c:pt idx="30">
                  <c:v>374.03999999999996</c:v>
                </c:pt>
                <c:pt idx="31">
                  <c:v>491.65</c:v>
                </c:pt>
                <c:pt idx="32">
                  <c:v>701.98</c:v>
                </c:pt>
                <c:pt idx="33">
                  <c:v>817.39</c:v>
                </c:pt>
                <c:pt idx="34">
                  <c:v>920.57999999999993</c:v>
                </c:pt>
                <c:pt idx="35">
                  <c:v>1001.0799999999999</c:v>
                </c:pt>
                <c:pt idx="36">
                  <c:v>1091.21</c:v>
                </c:pt>
                <c:pt idx="37">
                  <c:v>1161.67</c:v>
                </c:pt>
                <c:pt idx="38">
                  <c:v>1193.68</c:v>
                </c:pt>
                <c:pt idx="39">
                  <c:v>1237.51</c:v>
                </c:pt>
                <c:pt idx="40">
                  <c:v>1323.49</c:v>
                </c:pt>
                <c:pt idx="41">
                  <c:v>1373.49</c:v>
                </c:pt>
                <c:pt idx="42">
                  <c:v>1423.49</c:v>
                </c:pt>
              </c:numCache>
            </c:numRef>
          </c:val>
          <c:smooth val="0"/>
          <c:extLst>
            <c:ext xmlns:c16="http://schemas.microsoft.com/office/drawing/2014/chart" uri="{C3380CC4-5D6E-409C-BE32-E72D297353CC}">
              <c16:uniqueId val="{00000008-96DF-4694-AAAA-A7098A58C80C}"/>
            </c:ext>
          </c:extLst>
        </c:ser>
        <c:ser>
          <c:idx val="1"/>
          <c:order val="3"/>
          <c:tx>
            <c:v>Línea Base ll</c:v>
          </c:tx>
          <c:spPr>
            <a:ln w="28575" cmpd="sng">
              <a:solidFill>
                <a:srgbClr val="0070C0">
                  <a:alpha val="100000"/>
                </a:srgbClr>
              </a:solidFill>
            </a:ln>
          </c:spPr>
          <c:marker>
            <c:symbol val="circle"/>
            <c:size val="5"/>
            <c:spPr>
              <a:solidFill>
                <a:srgbClr val="0070C0">
                  <a:alpha val="100000"/>
                </a:srgbClr>
              </a:solidFill>
              <a:ln cmpd="sng">
                <a:solidFill>
                  <a:srgbClr val="0070C0">
                    <a:alpha val="100000"/>
                  </a:srgbClr>
                </a:solidFill>
              </a:ln>
            </c:spPr>
          </c:marker>
          <c:cat>
            <c:strRef>
              <c:f>'6. Garza Nosara'!$AN$6:$AN$48</c:f>
              <c:strCache>
                <c:ptCount val="43"/>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pt idx="12">
                  <c:v>nov-20</c:v>
                </c:pt>
                <c:pt idx="13">
                  <c:v>dic-20</c:v>
                </c:pt>
                <c:pt idx="14">
                  <c:v>ene-21</c:v>
                </c:pt>
                <c:pt idx="15">
                  <c:v>feb-21</c:v>
                </c:pt>
                <c:pt idx="16">
                  <c:v>mar-21</c:v>
                </c:pt>
                <c:pt idx="17">
                  <c:v>abr-21</c:v>
                </c:pt>
                <c:pt idx="18">
                  <c:v>may-21</c:v>
                </c:pt>
                <c:pt idx="19">
                  <c:v>jun-21</c:v>
                </c:pt>
                <c:pt idx="20">
                  <c:v>jul-21</c:v>
                </c:pt>
                <c:pt idx="21">
                  <c:v>ago-21</c:v>
                </c:pt>
                <c:pt idx="22">
                  <c:v>sep-21</c:v>
                </c:pt>
                <c:pt idx="23">
                  <c:v>oct-21</c:v>
                </c:pt>
                <c:pt idx="24">
                  <c:v>nov-21</c:v>
                </c:pt>
                <c:pt idx="25">
                  <c:v>dic-21</c:v>
                </c:pt>
                <c:pt idx="26">
                  <c:v>ene-22</c:v>
                </c:pt>
                <c:pt idx="27">
                  <c:v>feb-22</c:v>
                </c:pt>
                <c:pt idx="28">
                  <c:v>mar-22</c:v>
                </c:pt>
                <c:pt idx="29">
                  <c:v>abr-22</c:v>
                </c:pt>
                <c:pt idx="30">
                  <c:v>may-22</c:v>
                </c:pt>
                <c:pt idx="31">
                  <c:v>jun-22</c:v>
                </c:pt>
                <c:pt idx="32">
                  <c:v>jul-22</c:v>
                </c:pt>
                <c:pt idx="33">
                  <c:v>ago-22</c:v>
                </c:pt>
                <c:pt idx="34">
                  <c:v>sep-22</c:v>
                </c:pt>
                <c:pt idx="35">
                  <c:v>oct-22</c:v>
                </c:pt>
                <c:pt idx="36">
                  <c:v>nov-22</c:v>
                </c:pt>
                <c:pt idx="37">
                  <c:v>dic-22</c:v>
                </c:pt>
                <c:pt idx="38">
                  <c:v>ene-23</c:v>
                </c:pt>
                <c:pt idx="39">
                  <c:v>feb-23</c:v>
                </c:pt>
                <c:pt idx="40">
                  <c:v>mar-23</c:v>
                </c:pt>
                <c:pt idx="41">
                  <c:v>abr-23</c:v>
                </c:pt>
                <c:pt idx="42">
                  <c:v>may-23</c:v>
                </c:pt>
              </c:strCache>
            </c:strRef>
          </c:cat>
          <c:val>
            <c:numRef>
              <c:f>'6. Garza Nosara'!$AP$6:$AP$48</c:f>
              <c:numCache>
                <c:formatCode>_("₡"* #,##0.00_);_("₡"* \(#,##0.00\);_("₡"* "-"??_);_(@_)</c:formatCode>
                <c:ptCount val="43"/>
                <c:pt idx="0">
                  <c:v>8.7200000000000006</c:v>
                </c:pt>
                <c:pt idx="1">
                  <c:v>30.11</c:v>
                </c:pt>
                <c:pt idx="2">
                  <c:v>56.67</c:v>
                </c:pt>
                <c:pt idx="3">
                  <c:v>77.03</c:v>
                </c:pt>
                <c:pt idx="4">
                  <c:v>83.55</c:v>
                </c:pt>
                <c:pt idx="5">
                  <c:v>83.55</c:v>
                </c:pt>
                <c:pt idx="6">
                  <c:v>83.55</c:v>
                </c:pt>
                <c:pt idx="7">
                  <c:v>83.55</c:v>
                </c:pt>
                <c:pt idx="8">
                  <c:v>91.31</c:v>
                </c:pt>
                <c:pt idx="9">
                  <c:v>91.31</c:v>
                </c:pt>
                <c:pt idx="10">
                  <c:v>91.31</c:v>
                </c:pt>
                <c:pt idx="11">
                  <c:v>91.31</c:v>
                </c:pt>
                <c:pt idx="12">
                  <c:v>91.31</c:v>
                </c:pt>
                <c:pt idx="13">
                  <c:v>91.31</c:v>
                </c:pt>
                <c:pt idx="14">
                  <c:v>91.31</c:v>
                </c:pt>
                <c:pt idx="15">
                  <c:v>91.31</c:v>
                </c:pt>
                <c:pt idx="16">
                  <c:v>91.31</c:v>
                </c:pt>
                <c:pt idx="17">
                  <c:v>91.31</c:v>
                </c:pt>
                <c:pt idx="18">
                  <c:v>91.31</c:v>
                </c:pt>
                <c:pt idx="19">
                  <c:v>91.31</c:v>
                </c:pt>
                <c:pt idx="20">
                  <c:v>91.31</c:v>
                </c:pt>
                <c:pt idx="21">
                  <c:v>91.31</c:v>
                </c:pt>
                <c:pt idx="22">
                  <c:v>91.31</c:v>
                </c:pt>
                <c:pt idx="23">
                  <c:v>91.31</c:v>
                </c:pt>
                <c:pt idx="24">
                  <c:v>91.31</c:v>
                </c:pt>
                <c:pt idx="25">
                  <c:v>91.31</c:v>
                </c:pt>
                <c:pt idx="26">
                  <c:v>91.31</c:v>
                </c:pt>
                <c:pt idx="27">
                  <c:v>91.31</c:v>
                </c:pt>
                <c:pt idx="28">
                  <c:v>123.45</c:v>
                </c:pt>
                <c:pt idx="29">
                  <c:v>291.5</c:v>
                </c:pt>
                <c:pt idx="30">
                  <c:v>503.72</c:v>
                </c:pt>
                <c:pt idx="31">
                  <c:v>679.99</c:v>
                </c:pt>
                <c:pt idx="32">
                  <c:v>912.84</c:v>
                </c:pt>
                <c:pt idx="33">
                  <c:v>1176.6100000000001</c:v>
                </c:pt>
                <c:pt idx="34">
                  <c:v>1452.67</c:v>
                </c:pt>
                <c:pt idx="35">
                  <c:v>1734.43</c:v>
                </c:pt>
                <c:pt idx="36">
                  <c:v>1934.3700000000001</c:v>
                </c:pt>
                <c:pt idx="37">
                  <c:v>1934.3700000000001</c:v>
                </c:pt>
                <c:pt idx="38">
                  <c:v>1934.3700000000001</c:v>
                </c:pt>
                <c:pt idx="39">
                  <c:v>1934.3700000000001</c:v>
                </c:pt>
                <c:pt idx="40">
                  <c:v>1934.3700000000001</c:v>
                </c:pt>
                <c:pt idx="41">
                  <c:v>1934.3700000000001</c:v>
                </c:pt>
                <c:pt idx="42">
                  <c:v>1934.3700000000001</c:v>
                </c:pt>
              </c:numCache>
            </c:numRef>
          </c:val>
          <c:smooth val="1"/>
          <c:extLst>
            <c:ext xmlns:c16="http://schemas.microsoft.com/office/drawing/2014/chart" uri="{C3380CC4-5D6E-409C-BE32-E72D297353CC}">
              <c16:uniqueId val="{00000003-96DF-4694-AAAA-A7098A58C80C}"/>
            </c:ext>
          </c:extLst>
        </c:ser>
        <c:dLbls>
          <c:showLegendKey val="0"/>
          <c:showVal val="0"/>
          <c:showCatName val="0"/>
          <c:showSerName val="0"/>
          <c:showPercent val="0"/>
          <c:showBubbleSize val="0"/>
        </c:dLbls>
        <c:marker val="1"/>
        <c:smooth val="0"/>
        <c:axId val="1555497528"/>
        <c:axId val="1979370746"/>
      </c:lineChart>
      <c:catAx>
        <c:axId val="1555497528"/>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R"/>
          </a:p>
        </c:txPr>
        <c:crossAx val="1979370746"/>
        <c:crosses val="autoZero"/>
        <c:auto val="1"/>
        <c:lblAlgn val="ctr"/>
        <c:lblOffset val="100"/>
        <c:noMultiLvlLbl val="1"/>
      </c:catAx>
      <c:valAx>
        <c:axId val="1979370746"/>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mn-lt"/>
              </a:defRPr>
            </a:pPr>
            <a:endParaRPr lang="es-CR"/>
          </a:p>
        </c:txPr>
        <c:crossAx val="1555497528"/>
        <c:crosses val="autoZero"/>
        <c:crossBetween val="between"/>
      </c:valAx>
      <c:spPr>
        <a:noFill/>
        <a:ln w="25400">
          <a:noFill/>
        </a:ln>
      </c:spPr>
    </c:plotArea>
    <c:legend>
      <c:legendPos val="b"/>
      <c:overlay val="0"/>
      <c:txPr>
        <a:bodyPr/>
        <a:lstStyle/>
        <a:p>
          <a:pPr lv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13 de marzo de 2023. 
Periodo que reporta: Febrero 2023.&amp;DAprobado por:    
Ing. Pablo Camacho Salazar</c:oddHeader>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5519081734198E-2"/>
          <c:y val="0.11193420129414516"/>
          <c:w val="0.90829277676986131"/>
          <c:h val="0.68164543068480077"/>
        </c:manualLayout>
      </c:layout>
      <c:lineChart>
        <c:grouping val="standard"/>
        <c:varyColors val="1"/>
        <c:ser>
          <c:idx val="3"/>
          <c:order val="0"/>
          <c:tx>
            <c:v>Financiero ejecutado (mill)</c:v>
          </c:tx>
          <c:spPr>
            <a:ln w="28575" cmpd="sng">
              <a:solidFill>
                <a:schemeClr val="accent6"/>
              </a:solidFill>
              <a:prstDash val="dash"/>
            </a:ln>
          </c:spPr>
          <c:cat>
            <c:numRef>
              <c:f>'28. Brasilito'!$AN$6:$AN$19</c:f>
              <c:numCache>
                <c:formatCode>mmm\-yy</c:formatCode>
                <c:ptCount val="14"/>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numCache>
            </c:numRef>
          </c:cat>
          <c:val>
            <c:numRef>
              <c:f>'28. Brasilito'!$AQ$6:$AQ$15</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FF3B-4693-8B71-E6933045F0A9}"/>
            </c:ext>
          </c:extLst>
        </c:ser>
        <c:ser>
          <c:idx val="4"/>
          <c:order val="1"/>
          <c:tx>
            <c:v>Línea Base (mill)</c:v>
          </c:tx>
          <c:spPr>
            <a:ln w="28575" cmpd="sng">
              <a:solidFill>
                <a:srgbClr val="0070C0">
                  <a:alpha val="100000"/>
                </a:srgbClr>
              </a:solidFill>
            </a:ln>
          </c:spPr>
          <c:cat>
            <c:numRef>
              <c:f>'28. Brasilito'!$AN$6:$AN$19</c:f>
              <c:numCache>
                <c:formatCode>mmm\-yy</c:formatCode>
                <c:ptCount val="14"/>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numCache>
            </c:numRef>
          </c:cat>
          <c:val>
            <c:numRef>
              <c:f>'28. Brasilito'!$AO$6:$AO$15</c:f>
              <c:numCache>
                <c:formatCode>_("₡"* #,##0.00_);_("₡"* \(#,##0.00\);_("₡"* "-"??_);_(@_)</c:formatCode>
                <c:ptCount val="10"/>
                <c:pt idx="0">
                  <c:v>37.581265689999995</c:v>
                </c:pt>
                <c:pt idx="1">
                  <c:v>111.35045301999999</c:v>
                </c:pt>
                <c:pt idx="2">
                  <c:v>219.42509853000001</c:v>
                </c:pt>
                <c:pt idx="3">
                  <c:v>310.31741868</c:v>
                </c:pt>
                <c:pt idx="4">
                  <c:v>366.10820754000002</c:v>
                </c:pt>
                <c:pt idx="5">
                  <c:v>395.14752546</c:v>
                </c:pt>
                <c:pt idx="6">
                  <c:v>405.32577598</c:v>
                </c:pt>
                <c:pt idx="7">
                  <c:v>405.32577598</c:v>
                </c:pt>
                <c:pt idx="8">
                  <c:v>405.32577598</c:v>
                </c:pt>
                <c:pt idx="9">
                  <c:v>405.32577598</c:v>
                </c:pt>
              </c:numCache>
            </c:numRef>
          </c:val>
          <c:smooth val="0"/>
          <c:extLst>
            <c:ext xmlns:c16="http://schemas.microsoft.com/office/drawing/2014/chart" uri="{C3380CC4-5D6E-409C-BE32-E72D297353CC}">
              <c16:uniqueId val="{00000001-FF3B-4693-8B71-E6933045F0A9}"/>
            </c:ext>
          </c:extLst>
        </c:ser>
        <c:ser>
          <c:idx val="5"/>
          <c:order val="2"/>
          <c:tx>
            <c:v>Físico ejecutado (mill)</c:v>
          </c:tx>
          <c:spPr>
            <a:ln w="28575" cmpd="sng">
              <a:solidFill>
                <a:schemeClr val="accent4"/>
              </a:solidFill>
              <a:prstDash val="sysDot"/>
            </a:ln>
          </c:spPr>
          <c:cat>
            <c:numRef>
              <c:f>'28. Brasilito'!$AN$6:$AN$19</c:f>
              <c:numCache>
                <c:formatCode>mmm\-yy</c:formatCode>
                <c:ptCount val="14"/>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numCache>
            </c:numRef>
          </c:cat>
          <c:val>
            <c:numRef>
              <c:f>'28. Brasilito'!$AR$6:$AR$15</c:f>
              <c:numCache>
                <c:formatCode>_("₡"* #,##0.00_);_("₡"* \(#,##0.00\);_("₡"* "-"??_);_(@_)</c:formatCode>
                <c:ptCount val="10"/>
                <c:pt idx="0">
                  <c:v>0</c:v>
                </c:pt>
                <c:pt idx="1">
                  <c:v>0</c:v>
                </c:pt>
                <c:pt idx="2">
                  <c:v>0</c:v>
                </c:pt>
                <c:pt idx="3">
                  <c:v>0</c:v>
                </c:pt>
                <c:pt idx="4">
                  <c:v>0</c:v>
                </c:pt>
                <c:pt idx="5">
                  <c:v>0</c:v>
                </c:pt>
                <c:pt idx="6">
                  <c:v>0</c:v>
                </c:pt>
                <c:pt idx="7">
                  <c:v>11.75</c:v>
                </c:pt>
                <c:pt idx="8">
                  <c:v>69.259999999999991</c:v>
                </c:pt>
                <c:pt idx="9">
                  <c:v>119.25999999999999</c:v>
                </c:pt>
              </c:numCache>
            </c:numRef>
          </c:val>
          <c:smooth val="0"/>
          <c:extLst>
            <c:ext xmlns:c16="http://schemas.microsoft.com/office/drawing/2014/chart" uri="{C3380CC4-5D6E-409C-BE32-E72D297353CC}">
              <c16:uniqueId val="{00000002-FF3B-4693-8B71-E6933045F0A9}"/>
            </c:ext>
          </c:extLst>
        </c:ser>
        <c:ser>
          <c:idx val="1"/>
          <c:order val="3"/>
          <c:tx>
            <c:v>Autorizado (mill)</c:v>
          </c:tx>
          <c:spPr>
            <a:ln w="28575" cmpd="sng">
              <a:solidFill>
                <a:srgbClr val="0070C0">
                  <a:alpha val="100000"/>
                </a:srgbClr>
              </a:solidFill>
            </a:ln>
          </c:spPr>
          <c:marker>
            <c:symbol val="circle"/>
            <c:size val="5"/>
            <c:spPr>
              <a:solidFill>
                <a:srgbClr val="0070C0">
                  <a:alpha val="100000"/>
                </a:srgbClr>
              </a:solidFill>
              <a:ln cmpd="sng">
                <a:solidFill>
                  <a:srgbClr val="0070C0">
                    <a:alpha val="100000"/>
                  </a:srgbClr>
                </a:solidFill>
              </a:ln>
            </c:spPr>
          </c:marker>
          <c:cat>
            <c:numRef>
              <c:f>'28. Brasilito'!$AN$6:$AN$19</c:f>
              <c:numCache>
                <c:formatCode>mmm\-yy</c:formatCode>
                <c:ptCount val="14"/>
                <c:pt idx="0">
                  <c:v>44743</c:v>
                </c:pt>
                <c:pt idx="1">
                  <c:v>44774</c:v>
                </c:pt>
                <c:pt idx="2">
                  <c:v>44805</c:v>
                </c:pt>
                <c:pt idx="3">
                  <c:v>44835</c:v>
                </c:pt>
                <c:pt idx="4">
                  <c:v>44866</c:v>
                </c:pt>
                <c:pt idx="5">
                  <c:v>44896</c:v>
                </c:pt>
                <c:pt idx="6">
                  <c:v>44927</c:v>
                </c:pt>
                <c:pt idx="7">
                  <c:v>44958</c:v>
                </c:pt>
                <c:pt idx="8">
                  <c:v>44986</c:v>
                </c:pt>
                <c:pt idx="9">
                  <c:v>45017</c:v>
                </c:pt>
                <c:pt idx="10">
                  <c:v>45047</c:v>
                </c:pt>
                <c:pt idx="11">
                  <c:v>45078</c:v>
                </c:pt>
                <c:pt idx="12">
                  <c:v>45108</c:v>
                </c:pt>
                <c:pt idx="13">
                  <c:v>45139</c:v>
                </c:pt>
              </c:numCache>
            </c:numRef>
          </c:cat>
          <c:val>
            <c:numRef>
              <c:f>'28. Brasilito'!$AP$6:$AP$19</c:f>
              <c:numCache>
                <c:formatCode>_("₡"* #,##0.00_);_("₡"* \(#,##0.00\);_("₡"* "-"??_);_(@_)</c:formatCode>
                <c:ptCount val="14"/>
                <c:pt idx="0">
                  <c:v>0</c:v>
                </c:pt>
                <c:pt idx="1">
                  <c:v>0</c:v>
                </c:pt>
                <c:pt idx="2">
                  <c:v>0</c:v>
                </c:pt>
                <c:pt idx="3">
                  <c:v>0</c:v>
                </c:pt>
                <c:pt idx="4">
                  <c:v>0</c:v>
                </c:pt>
                <c:pt idx="5">
                  <c:v>0</c:v>
                </c:pt>
                <c:pt idx="6">
                  <c:v>0</c:v>
                </c:pt>
                <c:pt idx="7">
                  <c:v>83.354673230000003</c:v>
                </c:pt>
                <c:pt idx="8">
                  <c:v>177.44449916000002</c:v>
                </c:pt>
                <c:pt idx="9">
                  <c:v>331.77364422000005</c:v>
                </c:pt>
                <c:pt idx="10">
                  <c:v>387.07430662000007</c:v>
                </c:pt>
                <c:pt idx="11">
                  <c:v>477.4140673500001</c:v>
                </c:pt>
                <c:pt idx="12">
                  <c:v>533.22581295000009</c:v>
                </c:pt>
                <c:pt idx="13">
                  <c:v>604.5055051600001</c:v>
                </c:pt>
              </c:numCache>
            </c:numRef>
          </c:val>
          <c:smooth val="1"/>
          <c:extLst>
            <c:ext xmlns:c16="http://schemas.microsoft.com/office/drawing/2014/chart" uri="{C3380CC4-5D6E-409C-BE32-E72D297353CC}">
              <c16:uniqueId val="{00000003-FF3B-4693-8B71-E6933045F0A9}"/>
            </c:ext>
          </c:extLst>
        </c:ser>
        <c:dLbls>
          <c:showLegendKey val="0"/>
          <c:showVal val="0"/>
          <c:showCatName val="0"/>
          <c:showSerName val="0"/>
          <c:showPercent val="0"/>
          <c:showBubbleSize val="0"/>
        </c:dLbls>
        <c:marker val="1"/>
        <c:smooth val="0"/>
        <c:axId val="1555497528"/>
        <c:axId val="1979370746"/>
      </c:lineChart>
      <c:dateAx>
        <c:axId val="1555497528"/>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mn-lt"/>
              </a:defRPr>
            </a:pPr>
            <a:endParaRPr lang="es-CR"/>
          </a:p>
        </c:txPr>
        <c:crossAx val="1979370746"/>
        <c:crosses val="autoZero"/>
        <c:auto val="1"/>
        <c:lblOffset val="100"/>
        <c:baseTimeUnit val="months"/>
      </c:dateAx>
      <c:valAx>
        <c:axId val="1979370746"/>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mn-lt"/>
              </a:defRPr>
            </a:pPr>
            <a:endParaRPr lang="es-CR"/>
          </a:p>
        </c:txPr>
        <c:crossAx val="1555497528"/>
        <c:crosses val="autoZero"/>
        <c:crossBetween val="between"/>
      </c:valAx>
      <c:spPr>
        <a:noFill/>
        <a:ln w="25400">
          <a:noFill/>
        </a:ln>
      </c:spPr>
    </c:plotArea>
    <c:legend>
      <c:legendPos val="b"/>
      <c:overlay val="0"/>
      <c:txPr>
        <a:bodyPr/>
        <a:lstStyle/>
        <a:p>
          <a:pPr lv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13 de marzo de 2023. 
Periodo que reporta: Febrero 2023.&amp;DAprobado por:    
Ing. Pablo Camacho Salazar</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24732224935214E-2"/>
          <c:y val="7.4957450781338864E-2"/>
          <c:w val="0.67026230517414231"/>
          <c:h val="0.68743869800464019"/>
        </c:manualLayout>
      </c:layout>
      <c:lineChart>
        <c:grouping val="standard"/>
        <c:varyColors val="1"/>
        <c:ser>
          <c:idx val="0"/>
          <c:order val="0"/>
          <c:tx>
            <c:strRef>
              <c:f>'28. Brasilito'!$BA$5</c:f>
              <c:strCache>
                <c:ptCount val="1"/>
                <c:pt idx="0">
                  <c:v>SPI</c:v>
                </c:pt>
              </c:strCache>
            </c:strRef>
          </c:tx>
          <c:spPr>
            <a:ln w="28575" cmpd="sng">
              <a:solidFill>
                <a:schemeClr val="accent1"/>
              </a:solidFill>
            </a:ln>
          </c:spPr>
          <c:marker>
            <c:symbol val="none"/>
          </c:marker>
          <c:cat>
            <c:numRef>
              <c:f>'28. Brasilito'!$AZ$11:$AZ$19</c:f>
              <c:numCache>
                <c:formatCode>mmm\-yy</c:formatCode>
                <c:ptCount val="9"/>
                <c:pt idx="0">
                  <c:v>44896</c:v>
                </c:pt>
                <c:pt idx="1">
                  <c:v>44927</c:v>
                </c:pt>
                <c:pt idx="2">
                  <c:v>44958</c:v>
                </c:pt>
                <c:pt idx="3">
                  <c:v>44986</c:v>
                </c:pt>
                <c:pt idx="4">
                  <c:v>45017</c:v>
                </c:pt>
                <c:pt idx="5">
                  <c:v>45047</c:v>
                </c:pt>
                <c:pt idx="6">
                  <c:v>45078</c:v>
                </c:pt>
                <c:pt idx="7">
                  <c:v>45108</c:v>
                </c:pt>
                <c:pt idx="8">
                  <c:v>45139</c:v>
                </c:pt>
              </c:numCache>
            </c:numRef>
          </c:cat>
          <c:val>
            <c:numRef>
              <c:f>'28. Brasilito'!$BA$11:$BA$19</c:f>
              <c:numCache>
                <c:formatCode>#,##0.00</c:formatCode>
                <c:ptCount val="9"/>
                <c:pt idx="0">
                  <c:v>0</c:v>
                </c:pt>
                <c:pt idx="1">
                  <c:v>0</c:v>
                </c:pt>
                <c:pt idx="2">
                  <c:v>0</c:v>
                </c:pt>
                <c:pt idx="3">
                  <c:v>0</c:v>
                </c:pt>
                <c:pt idx="4">
                  <c:v>0</c:v>
                </c:pt>
                <c:pt idx="5">
                  <c:v>0</c:v>
                </c:pt>
              </c:numCache>
            </c:numRef>
          </c:val>
          <c:smooth val="0"/>
          <c:extLst>
            <c:ext xmlns:c16="http://schemas.microsoft.com/office/drawing/2014/chart" uri="{C3380CC4-5D6E-409C-BE32-E72D297353CC}">
              <c16:uniqueId val="{00000000-7CD4-4B9C-AE2E-F0820DBEA2D2}"/>
            </c:ext>
          </c:extLst>
        </c:ser>
        <c:ser>
          <c:idx val="1"/>
          <c:order val="1"/>
          <c:tx>
            <c:strRef>
              <c:f>'28. Brasilito'!$BB$5</c:f>
              <c:strCache>
                <c:ptCount val="1"/>
                <c:pt idx="0">
                  <c:v>CPI</c:v>
                </c:pt>
              </c:strCache>
            </c:strRef>
          </c:tx>
          <c:marker>
            <c:symbol val="none"/>
          </c:marker>
          <c:cat>
            <c:numRef>
              <c:f>'28. Brasilito'!$AZ$11:$AZ$19</c:f>
              <c:numCache>
                <c:formatCode>mmm\-yy</c:formatCode>
                <c:ptCount val="9"/>
                <c:pt idx="0">
                  <c:v>44896</c:v>
                </c:pt>
                <c:pt idx="1">
                  <c:v>44927</c:v>
                </c:pt>
                <c:pt idx="2">
                  <c:v>44958</c:v>
                </c:pt>
                <c:pt idx="3">
                  <c:v>44986</c:v>
                </c:pt>
                <c:pt idx="4">
                  <c:v>45017</c:v>
                </c:pt>
                <c:pt idx="5">
                  <c:v>45047</c:v>
                </c:pt>
                <c:pt idx="6">
                  <c:v>45078</c:v>
                </c:pt>
                <c:pt idx="7">
                  <c:v>45108</c:v>
                </c:pt>
                <c:pt idx="8">
                  <c:v>45139</c:v>
                </c:pt>
              </c:numCache>
            </c:numRef>
          </c:cat>
          <c:val>
            <c:numRef>
              <c:f>'28. Brasilito'!$BB$11:$BB$19</c:f>
              <c:numCache>
                <c:formatCode>#,##0.00</c:formatCode>
                <c:ptCount val="9"/>
                <c:pt idx="0">
                  <c:v>0</c:v>
                </c:pt>
                <c:pt idx="1">
                  <c:v>0</c:v>
                </c:pt>
                <c:pt idx="2">
                  <c:v>0</c:v>
                </c:pt>
                <c:pt idx="3">
                  <c:v>0</c:v>
                </c:pt>
                <c:pt idx="4">
                  <c:v>0</c:v>
                </c:pt>
                <c:pt idx="5">
                  <c:v>0</c:v>
                </c:pt>
              </c:numCache>
            </c:numRef>
          </c:val>
          <c:smooth val="0"/>
          <c:extLst>
            <c:ext xmlns:c16="http://schemas.microsoft.com/office/drawing/2014/chart" uri="{C3380CC4-5D6E-409C-BE32-E72D297353CC}">
              <c16:uniqueId val="{00000001-7CD4-4B9C-AE2E-F0820DBEA2D2}"/>
            </c:ext>
          </c:extLst>
        </c:ser>
        <c:ser>
          <c:idx val="2"/>
          <c:order val="2"/>
          <c:tx>
            <c:strRef>
              <c:f>'28. Brasilito'!$BC$5</c:f>
              <c:strCache>
                <c:ptCount val="1"/>
                <c:pt idx="0">
                  <c:v>TCPI</c:v>
                </c:pt>
              </c:strCache>
            </c:strRef>
          </c:tx>
          <c:marker>
            <c:symbol val="none"/>
          </c:marker>
          <c:cat>
            <c:numRef>
              <c:f>'28. Brasilito'!$AZ$11:$AZ$19</c:f>
              <c:numCache>
                <c:formatCode>mmm\-yy</c:formatCode>
                <c:ptCount val="9"/>
                <c:pt idx="0">
                  <c:v>44896</c:v>
                </c:pt>
                <c:pt idx="1">
                  <c:v>44927</c:v>
                </c:pt>
                <c:pt idx="2">
                  <c:v>44958</c:v>
                </c:pt>
                <c:pt idx="3">
                  <c:v>44986</c:v>
                </c:pt>
                <c:pt idx="4">
                  <c:v>45017</c:v>
                </c:pt>
                <c:pt idx="5">
                  <c:v>45047</c:v>
                </c:pt>
                <c:pt idx="6">
                  <c:v>45078</c:v>
                </c:pt>
                <c:pt idx="7">
                  <c:v>45108</c:v>
                </c:pt>
                <c:pt idx="8">
                  <c:v>45139</c:v>
                </c:pt>
              </c:numCache>
            </c:numRef>
          </c:cat>
          <c:val>
            <c:numRef>
              <c:f>'28. Brasilito'!$BC$11:$BC$19</c:f>
              <c:numCache>
                <c:formatCode>#,##0.00</c:formatCode>
                <c:ptCount val="9"/>
                <c:pt idx="0">
                  <c:v>0</c:v>
                </c:pt>
                <c:pt idx="1">
                  <c:v>1</c:v>
                </c:pt>
                <c:pt idx="2">
                  <c:v>1</c:v>
                </c:pt>
                <c:pt idx="3">
                  <c:v>0.88</c:v>
                </c:pt>
                <c:pt idx="4">
                  <c:v>0.72</c:v>
                </c:pt>
                <c:pt idx="5">
                  <c:v>0.4</c:v>
                </c:pt>
              </c:numCache>
            </c:numRef>
          </c:val>
          <c:smooth val="0"/>
          <c:extLst>
            <c:ext xmlns:c16="http://schemas.microsoft.com/office/drawing/2014/chart" uri="{C3380CC4-5D6E-409C-BE32-E72D297353CC}">
              <c16:uniqueId val="{00000002-7CD4-4B9C-AE2E-F0820DBEA2D2}"/>
            </c:ext>
          </c:extLst>
        </c:ser>
        <c:dLbls>
          <c:showLegendKey val="0"/>
          <c:showVal val="0"/>
          <c:showCatName val="0"/>
          <c:showSerName val="0"/>
          <c:showPercent val="0"/>
          <c:showBubbleSize val="0"/>
        </c:dLbls>
        <c:smooth val="0"/>
        <c:axId val="1347311342"/>
        <c:axId val="1224184864"/>
      </c:lineChart>
      <c:dateAx>
        <c:axId val="1347311342"/>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mn-lt"/>
              </a:defRPr>
            </a:pPr>
            <a:endParaRPr lang="es-CR"/>
          </a:p>
        </c:txPr>
        <c:crossAx val="1224184864"/>
        <c:crosses val="autoZero"/>
        <c:auto val="1"/>
        <c:lblOffset val="100"/>
        <c:baseTimeUnit val="months"/>
      </c:dateAx>
      <c:valAx>
        <c:axId val="1224184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s-CR"/>
          </a:p>
        </c:txPr>
        <c:crossAx val="1347311342"/>
        <c:crosses val="autoZero"/>
        <c:crossBetween val="between"/>
      </c:valAx>
    </c:plotArea>
    <c:legend>
      <c:legendPos val="r"/>
      <c:overlay val="0"/>
      <c:txPr>
        <a:bodyPr/>
        <a:lstStyle/>
        <a:p>
          <a:pPr lvl="0" rt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11 de mayo de 2023. 
Periodo que reporta: Abril 2023.&amp;DAprobado por:    
Ing. Pablo Camacho Salazar</c:oddHeader>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0"/>
          <c:order val="0"/>
          <c:tx>
            <c:v>Línea Base</c:v>
          </c:tx>
          <c:spPr>
            <a:ln w="28575" cmpd="sng">
              <a:solidFill>
                <a:schemeClr val="accent6"/>
              </a:solidFill>
              <a:prstDash val="dash"/>
            </a:ln>
          </c:spPr>
          <c:marker>
            <c:symbol val="none"/>
          </c:marker>
          <c:cat>
            <c:numRef>
              <c:f>'28. Brasilito'!$BF$6:$BF$8</c:f>
              <c:numCache>
                <c:formatCode>mmm\-yy</c:formatCode>
                <c:ptCount val="3"/>
                <c:pt idx="0">
                  <c:v>44986</c:v>
                </c:pt>
                <c:pt idx="1">
                  <c:v>45017</c:v>
                </c:pt>
                <c:pt idx="2">
                  <c:v>45047</c:v>
                </c:pt>
              </c:numCache>
            </c:numRef>
          </c:cat>
          <c:val>
            <c:numRef>
              <c:f>'28. Brasilito'!$BG$6:$BG$8</c:f>
              <c:numCache>
                <c:formatCode>"₡"#\ ##0.00</c:formatCode>
                <c:ptCount val="3"/>
                <c:pt idx="0">
                  <c:v>405.32577598</c:v>
                </c:pt>
                <c:pt idx="1">
                  <c:v>405.32577598</c:v>
                </c:pt>
                <c:pt idx="2">
                  <c:v>0</c:v>
                </c:pt>
              </c:numCache>
            </c:numRef>
          </c:val>
          <c:smooth val="0"/>
          <c:extLst>
            <c:ext xmlns:c16="http://schemas.microsoft.com/office/drawing/2014/chart" uri="{C3380CC4-5D6E-409C-BE32-E72D297353CC}">
              <c16:uniqueId val="{00000000-1094-44F6-947A-11E0E7A066F8}"/>
            </c:ext>
          </c:extLst>
        </c:ser>
        <c:ser>
          <c:idx val="1"/>
          <c:order val="1"/>
          <c:spPr>
            <a:ln w="28575" cmpd="sng">
              <a:solidFill>
                <a:srgbClr val="0070C0">
                  <a:alpha val="100000"/>
                </a:srgbClr>
              </a:solidFill>
            </a:ln>
          </c:spPr>
          <c:marker>
            <c:symbol val="none"/>
          </c:marker>
          <c:cat>
            <c:numRef>
              <c:f>'28. Brasilito'!$BF$6:$BF$8</c:f>
              <c:numCache>
                <c:formatCode>mmm\-yy</c:formatCode>
                <c:ptCount val="3"/>
                <c:pt idx="0">
                  <c:v>44986</c:v>
                </c:pt>
                <c:pt idx="1">
                  <c:v>45017</c:v>
                </c:pt>
                <c:pt idx="2">
                  <c:v>45047</c:v>
                </c:pt>
              </c:numCache>
            </c:numRef>
          </c:cat>
          <c:val>
            <c:numRef>
              <c:f>'28. Brasilito'!$BI$6:$BI$8</c:f>
              <c:numCache>
                <c:formatCode>"₡"#\ ##0.00</c:formatCode>
                <c:ptCount val="3"/>
                <c:pt idx="0">
                  <c:v>0</c:v>
                </c:pt>
                <c:pt idx="1">
                  <c:v>0</c:v>
                </c:pt>
                <c:pt idx="2">
                  <c:v>0</c:v>
                </c:pt>
              </c:numCache>
            </c:numRef>
          </c:val>
          <c:smooth val="0"/>
          <c:extLst>
            <c:ext xmlns:c16="http://schemas.microsoft.com/office/drawing/2014/chart" uri="{C3380CC4-5D6E-409C-BE32-E72D297353CC}">
              <c16:uniqueId val="{00000001-1094-44F6-947A-11E0E7A066F8}"/>
            </c:ext>
          </c:extLst>
        </c:ser>
        <c:ser>
          <c:idx val="2"/>
          <c:order val="2"/>
          <c:tx>
            <c:v>Físico Ejecutado</c:v>
          </c:tx>
          <c:spPr>
            <a:ln w="28575" cmpd="sng">
              <a:solidFill>
                <a:schemeClr val="accent4"/>
              </a:solidFill>
              <a:prstDash val="sysDot"/>
            </a:ln>
          </c:spPr>
          <c:marker>
            <c:symbol val="none"/>
          </c:marker>
          <c:cat>
            <c:numRef>
              <c:f>'28. Brasilito'!$BF$6:$BF$8</c:f>
              <c:numCache>
                <c:formatCode>mmm\-yy</c:formatCode>
                <c:ptCount val="3"/>
                <c:pt idx="0">
                  <c:v>44986</c:v>
                </c:pt>
                <c:pt idx="1">
                  <c:v>45017</c:v>
                </c:pt>
                <c:pt idx="2">
                  <c:v>45047</c:v>
                </c:pt>
              </c:numCache>
            </c:numRef>
          </c:cat>
          <c:val>
            <c:numRef>
              <c:f>'28. Brasilito'!$BJ$6:$BJ$8</c:f>
              <c:numCache>
                <c:formatCode>"₡"#\ ##0.00</c:formatCode>
                <c:ptCount val="3"/>
                <c:pt idx="0">
                  <c:v>69.259999999999991</c:v>
                </c:pt>
                <c:pt idx="1">
                  <c:v>119.25999999999999</c:v>
                </c:pt>
                <c:pt idx="2">
                  <c:v>119.25999999999999</c:v>
                </c:pt>
              </c:numCache>
            </c:numRef>
          </c:val>
          <c:smooth val="0"/>
          <c:extLst>
            <c:ext xmlns:c16="http://schemas.microsoft.com/office/drawing/2014/chart" uri="{C3380CC4-5D6E-409C-BE32-E72D297353CC}">
              <c16:uniqueId val="{00000002-1094-44F6-947A-11E0E7A066F8}"/>
            </c:ext>
          </c:extLst>
        </c:ser>
        <c:dLbls>
          <c:showLegendKey val="0"/>
          <c:showVal val="0"/>
          <c:showCatName val="0"/>
          <c:showSerName val="0"/>
          <c:showPercent val="0"/>
          <c:showBubbleSize val="0"/>
        </c:dLbls>
        <c:smooth val="0"/>
        <c:axId val="2031904060"/>
        <c:axId val="756858020"/>
      </c:lineChart>
      <c:dateAx>
        <c:axId val="2031904060"/>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Arial Narrow"/>
              </a:defRPr>
            </a:pPr>
            <a:endParaRPr lang="es-CR"/>
          </a:p>
        </c:txPr>
        <c:crossAx val="756858020"/>
        <c:crosses val="autoZero"/>
        <c:auto val="1"/>
        <c:lblOffset val="100"/>
        <c:baseTimeUnit val="months"/>
      </c:dateAx>
      <c:valAx>
        <c:axId val="756858020"/>
        <c:scaling>
          <c:orientation val="minMax"/>
          <c:min val="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Arial Narrow"/>
              </a:defRPr>
            </a:pPr>
            <a:endParaRPr lang="es-CR"/>
          </a:p>
        </c:txPr>
        <c:crossAx val="2031904060"/>
        <c:crosses val="autoZero"/>
        <c:crossBetween val="between"/>
      </c:valAx>
    </c:plotArea>
    <c:plotVisOnly val="1"/>
    <c:dispBlanksAs val="zero"/>
    <c:showDLblsOverMax val="1"/>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5519081734198E-2"/>
          <c:y val="0.11193420129414516"/>
          <c:w val="0.90829277676986131"/>
          <c:h val="0.68164543068480077"/>
        </c:manualLayout>
      </c:layout>
      <c:lineChart>
        <c:grouping val="standard"/>
        <c:varyColors val="1"/>
        <c:ser>
          <c:idx val="3"/>
          <c:order val="0"/>
          <c:tx>
            <c:v>Financiero Ejecutado</c:v>
          </c:tx>
          <c:spPr>
            <a:ln w="28575" cmpd="sng">
              <a:solidFill>
                <a:schemeClr val="accent6"/>
              </a:solidFill>
              <a:prstDash val="dash"/>
            </a:ln>
          </c:spPr>
          <c:cat>
            <c:numRef>
              <c:f>'42. Flores'!$AN$6:$AN$16</c:f>
              <c:numCache>
                <c:formatCode>mmm\-yy</c:formatCode>
                <c:ptCount val="11"/>
                <c:pt idx="0">
                  <c:v>45047</c:v>
                </c:pt>
                <c:pt idx="1">
                  <c:v>45078</c:v>
                </c:pt>
                <c:pt idx="2">
                  <c:v>45108</c:v>
                </c:pt>
                <c:pt idx="3">
                  <c:v>45139</c:v>
                </c:pt>
                <c:pt idx="4">
                  <c:v>45170</c:v>
                </c:pt>
                <c:pt idx="5">
                  <c:v>45200</c:v>
                </c:pt>
                <c:pt idx="6">
                  <c:v>45231</c:v>
                </c:pt>
                <c:pt idx="7">
                  <c:v>45261</c:v>
                </c:pt>
                <c:pt idx="8">
                  <c:v>45292</c:v>
                </c:pt>
                <c:pt idx="9">
                  <c:v>45323</c:v>
                </c:pt>
                <c:pt idx="10">
                  <c:v>45352</c:v>
                </c:pt>
              </c:numCache>
            </c:numRef>
          </c:cat>
          <c:val>
            <c:numRef>
              <c:f>'42. Flores'!$AQ$6:$AQ$16</c:f>
              <c:numCache>
                <c:formatCode>_("₡"* #,##0.00_);_("₡"* \(#,##0.00\);_("₡"* "-"??_);_(@_)</c:formatCode>
                <c:ptCount val="11"/>
                <c:pt idx="0">
                  <c:v>56.1</c:v>
                </c:pt>
                <c:pt idx="1">
                  <c:v>241.6</c:v>
                </c:pt>
                <c:pt idx="2">
                  <c:v>480.07</c:v>
                </c:pt>
                <c:pt idx="3">
                  <c:v>683.48</c:v>
                </c:pt>
                <c:pt idx="4">
                  <c:v>803.8</c:v>
                </c:pt>
                <c:pt idx="5">
                  <c:v>990.84999999999991</c:v>
                </c:pt>
                <c:pt idx="6">
                  <c:v>1032.1699999999998</c:v>
                </c:pt>
                <c:pt idx="7">
                  <c:v>1117.6999999999998</c:v>
                </c:pt>
                <c:pt idx="8">
                  <c:v>1201.3699999999999</c:v>
                </c:pt>
                <c:pt idx="9">
                  <c:v>1285.1699999999998</c:v>
                </c:pt>
                <c:pt idx="10">
                  <c:v>1364.87</c:v>
                </c:pt>
              </c:numCache>
            </c:numRef>
          </c:val>
          <c:smooth val="0"/>
          <c:extLst>
            <c:ext xmlns:c16="http://schemas.microsoft.com/office/drawing/2014/chart" uri="{C3380CC4-5D6E-409C-BE32-E72D297353CC}">
              <c16:uniqueId val="{00000000-3447-46C6-8D9E-408A20AF806C}"/>
            </c:ext>
          </c:extLst>
        </c:ser>
        <c:ser>
          <c:idx val="4"/>
          <c:order val="1"/>
          <c:tx>
            <c:v>Línea Base (mill)</c:v>
          </c:tx>
          <c:spPr>
            <a:ln w="28575" cmpd="sng">
              <a:solidFill>
                <a:srgbClr val="0070C0">
                  <a:alpha val="100000"/>
                </a:srgbClr>
              </a:solidFill>
            </a:ln>
          </c:spPr>
          <c:cat>
            <c:numRef>
              <c:f>'42. Flores'!$AN$6:$AN$16</c:f>
              <c:numCache>
                <c:formatCode>mmm\-yy</c:formatCode>
                <c:ptCount val="11"/>
                <c:pt idx="0">
                  <c:v>45047</c:v>
                </c:pt>
                <c:pt idx="1">
                  <c:v>45078</c:v>
                </c:pt>
                <c:pt idx="2">
                  <c:v>45108</c:v>
                </c:pt>
                <c:pt idx="3">
                  <c:v>45139</c:v>
                </c:pt>
                <c:pt idx="4">
                  <c:v>45170</c:v>
                </c:pt>
                <c:pt idx="5">
                  <c:v>45200</c:v>
                </c:pt>
                <c:pt idx="6">
                  <c:v>45231</c:v>
                </c:pt>
                <c:pt idx="7">
                  <c:v>45261</c:v>
                </c:pt>
                <c:pt idx="8">
                  <c:v>45292</c:v>
                </c:pt>
                <c:pt idx="9">
                  <c:v>45323</c:v>
                </c:pt>
                <c:pt idx="10">
                  <c:v>45352</c:v>
                </c:pt>
              </c:numCache>
            </c:numRef>
          </c:cat>
          <c:val>
            <c:numRef>
              <c:f>'42. Flores'!$AO$6:$AO$15</c:f>
              <c:numCache>
                <c:formatCode>_("₡"* #,##0.00_);_("₡"* \(#,##0.00\);_("₡"* "-"??_);_(@_)</c:formatCode>
                <c:ptCount val="10"/>
                <c:pt idx="0">
                  <c:v>63.4</c:v>
                </c:pt>
                <c:pt idx="1">
                  <c:v>273.02</c:v>
                </c:pt>
                <c:pt idx="2">
                  <c:v>542.5</c:v>
                </c:pt>
                <c:pt idx="3">
                  <c:v>772.35</c:v>
                </c:pt>
                <c:pt idx="4">
                  <c:v>908.31000000000006</c:v>
                </c:pt>
                <c:pt idx="5">
                  <c:v>1119.69</c:v>
                </c:pt>
                <c:pt idx="6">
                  <c:v>1166.3900000000001</c:v>
                </c:pt>
                <c:pt idx="7">
                  <c:v>1263.0500000000002</c:v>
                </c:pt>
                <c:pt idx="8">
                  <c:v>1357.6000000000001</c:v>
                </c:pt>
                <c:pt idx="9">
                  <c:v>1452.3000000000002</c:v>
                </c:pt>
              </c:numCache>
            </c:numRef>
          </c:val>
          <c:smooth val="0"/>
          <c:extLst>
            <c:ext xmlns:c16="http://schemas.microsoft.com/office/drawing/2014/chart" uri="{C3380CC4-5D6E-409C-BE32-E72D297353CC}">
              <c16:uniqueId val="{00000001-3447-46C6-8D9E-408A20AF806C}"/>
            </c:ext>
          </c:extLst>
        </c:ser>
        <c:ser>
          <c:idx val="5"/>
          <c:order val="2"/>
          <c:tx>
            <c:v>Físico Ejecutado</c:v>
          </c:tx>
          <c:spPr>
            <a:ln w="28575" cmpd="sng">
              <a:solidFill>
                <a:schemeClr val="accent4"/>
              </a:solidFill>
              <a:prstDash val="sysDot"/>
            </a:ln>
          </c:spPr>
          <c:cat>
            <c:numRef>
              <c:f>'42. Flores'!$AN$6:$AN$16</c:f>
              <c:numCache>
                <c:formatCode>mmm\-yy</c:formatCode>
                <c:ptCount val="11"/>
                <c:pt idx="0">
                  <c:v>45047</c:v>
                </c:pt>
                <c:pt idx="1">
                  <c:v>45078</c:v>
                </c:pt>
                <c:pt idx="2">
                  <c:v>45108</c:v>
                </c:pt>
                <c:pt idx="3">
                  <c:v>45139</c:v>
                </c:pt>
                <c:pt idx="4">
                  <c:v>45170</c:v>
                </c:pt>
                <c:pt idx="5">
                  <c:v>45200</c:v>
                </c:pt>
                <c:pt idx="6">
                  <c:v>45231</c:v>
                </c:pt>
                <c:pt idx="7">
                  <c:v>45261</c:v>
                </c:pt>
                <c:pt idx="8">
                  <c:v>45292</c:v>
                </c:pt>
                <c:pt idx="9">
                  <c:v>45323</c:v>
                </c:pt>
                <c:pt idx="10">
                  <c:v>45352</c:v>
                </c:pt>
              </c:numCache>
            </c:numRef>
          </c:cat>
          <c:val>
            <c:numRef>
              <c:f>'42. Flores'!$AR$6:$AR$16</c:f>
              <c:numCache>
                <c:formatCode>_("₡"* #,##0.00_);_("₡"* \(#,##0.00\);_("₡"* "-"??_);_(@_)</c:formatCode>
                <c:ptCount val="11"/>
                <c:pt idx="0">
                  <c:v>51.62</c:v>
                </c:pt>
                <c:pt idx="1">
                  <c:v>51.62</c:v>
                </c:pt>
                <c:pt idx="2">
                  <c:v>51.62</c:v>
                </c:pt>
                <c:pt idx="3">
                  <c:v>51.62</c:v>
                </c:pt>
                <c:pt idx="4">
                  <c:v>51.62</c:v>
                </c:pt>
                <c:pt idx="5">
                  <c:v>51.62</c:v>
                </c:pt>
                <c:pt idx="6">
                  <c:v>51.62</c:v>
                </c:pt>
                <c:pt idx="7">
                  <c:v>51.62</c:v>
                </c:pt>
                <c:pt idx="8">
                  <c:v>51.62</c:v>
                </c:pt>
                <c:pt idx="9">
                  <c:v>51.62</c:v>
                </c:pt>
                <c:pt idx="10">
                  <c:v>51.62</c:v>
                </c:pt>
              </c:numCache>
            </c:numRef>
          </c:val>
          <c:smooth val="0"/>
          <c:extLst>
            <c:ext xmlns:c16="http://schemas.microsoft.com/office/drawing/2014/chart" uri="{C3380CC4-5D6E-409C-BE32-E72D297353CC}">
              <c16:uniqueId val="{00000002-3447-46C6-8D9E-408A20AF806C}"/>
            </c:ext>
          </c:extLst>
        </c:ser>
        <c:dLbls>
          <c:showLegendKey val="0"/>
          <c:showVal val="0"/>
          <c:showCatName val="0"/>
          <c:showSerName val="0"/>
          <c:showPercent val="0"/>
          <c:showBubbleSize val="0"/>
        </c:dLbls>
        <c:marker val="1"/>
        <c:smooth val="0"/>
        <c:axId val="1555497528"/>
        <c:axId val="1979370746"/>
        <c:extLst>
          <c:ext xmlns:c15="http://schemas.microsoft.com/office/drawing/2012/chart" uri="{02D57815-91ED-43cb-92C2-25804820EDAC}">
            <c15:filteredLineSeries>
              <c15:ser>
                <c:idx val="1"/>
                <c:order val="3"/>
                <c:spPr>
                  <a:ln w="28575" cmpd="sng">
                    <a:solidFill>
                      <a:srgbClr val="0070C0">
                        <a:alpha val="100000"/>
                      </a:srgbClr>
                    </a:solidFill>
                  </a:ln>
                </c:spPr>
                <c:marker>
                  <c:symbol val="circle"/>
                  <c:size val="5"/>
                  <c:spPr>
                    <a:solidFill>
                      <a:srgbClr val="0070C0">
                        <a:alpha val="100000"/>
                      </a:srgbClr>
                    </a:solidFill>
                    <a:ln cmpd="sng">
                      <a:solidFill>
                        <a:srgbClr val="0070C0">
                          <a:alpha val="100000"/>
                        </a:srgbClr>
                      </a:solidFill>
                    </a:ln>
                  </c:spPr>
                </c:marker>
                <c:cat>
                  <c:numRef>
                    <c:extLst>
                      <c:ext uri="{02D57815-91ED-43cb-92C2-25804820EDAC}">
                        <c15:formulaRef>
                          <c15:sqref>'42. Flores'!$AN$6:$AN$16</c15:sqref>
                        </c15:formulaRef>
                      </c:ext>
                    </c:extLst>
                    <c:numCache>
                      <c:formatCode>mmm\-yy</c:formatCode>
                      <c:ptCount val="11"/>
                      <c:pt idx="0">
                        <c:v>45047</c:v>
                      </c:pt>
                      <c:pt idx="1">
                        <c:v>45078</c:v>
                      </c:pt>
                      <c:pt idx="2">
                        <c:v>45108</c:v>
                      </c:pt>
                      <c:pt idx="3">
                        <c:v>45139</c:v>
                      </c:pt>
                      <c:pt idx="4">
                        <c:v>45170</c:v>
                      </c:pt>
                      <c:pt idx="5">
                        <c:v>45200</c:v>
                      </c:pt>
                      <c:pt idx="6">
                        <c:v>45231</c:v>
                      </c:pt>
                      <c:pt idx="7">
                        <c:v>45261</c:v>
                      </c:pt>
                      <c:pt idx="8">
                        <c:v>45292</c:v>
                      </c:pt>
                      <c:pt idx="9">
                        <c:v>45323</c:v>
                      </c:pt>
                      <c:pt idx="10">
                        <c:v>45352</c:v>
                      </c:pt>
                    </c:numCache>
                  </c:numRef>
                </c:cat>
                <c:val>
                  <c:numRef>
                    <c:extLst>
                      <c:ext uri="{02D57815-91ED-43cb-92C2-25804820EDAC}">
                        <c15:formulaRef>
                          <c15:sqref>'42. Flores'!$AP$6:$AP$16</c15:sqref>
                        </c15:formulaRef>
                      </c:ext>
                    </c:extLst>
                    <c:numCache>
                      <c:formatCode>_("₡"* #,##0.00_);_("₡"* \(#,##0.00\);_("₡"* "-"??_);_(@_)</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3-3447-46C6-8D9E-408A20AF806C}"/>
                  </c:ext>
                </c:extLst>
              </c15:ser>
            </c15:filteredLineSeries>
          </c:ext>
        </c:extLst>
      </c:lineChart>
      <c:dateAx>
        <c:axId val="1555497528"/>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mn-lt"/>
              </a:defRPr>
            </a:pPr>
            <a:endParaRPr lang="es-CR"/>
          </a:p>
        </c:txPr>
        <c:crossAx val="1979370746"/>
        <c:crosses val="autoZero"/>
        <c:auto val="1"/>
        <c:lblOffset val="100"/>
        <c:baseTimeUnit val="months"/>
      </c:dateAx>
      <c:valAx>
        <c:axId val="1979370746"/>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mn-lt"/>
              </a:defRPr>
            </a:pPr>
            <a:endParaRPr lang="es-CR"/>
          </a:p>
        </c:txPr>
        <c:crossAx val="1555497528"/>
        <c:crosses val="autoZero"/>
        <c:crossBetween val="between"/>
      </c:valAx>
      <c:spPr>
        <a:noFill/>
        <a:ln w="25400">
          <a:noFill/>
        </a:ln>
      </c:spPr>
    </c:plotArea>
    <c:legend>
      <c:legendPos val="b"/>
      <c:overlay val="0"/>
      <c:txPr>
        <a:bodyPr/>
        <a:lstStyle/>
        <a:p>
          <a:pPr lv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13 de marzo de 2023. 
Periodo que reporta: Febrero 2023.&amp;DAprobado por:    
Ing. Pablo Camacho Salazar</c:oddHeader>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24732224935214E-2"/>
          <c:y val="7.4957450781338864E-2"/>
          <c:w val="0.67026230517414231"/>
          <c:h val="0.68743869800464019"/>
        </c:manualLayout>
      </c:layout>
      <c:lineChart>
        <c:grouping val="standard"/>
        <c:varyColors val="1"/>
        <c:ser>
          <c:idx val="0"/>
          <c:order val="0"/>
          <c:tx>
            <c:strRef>
              <c:f>'42. Flores'!$BA$5</c:f>
              <c:strCache>
                <c:ptCount val="1"/>
                <c:pt idx="0">
                  <c:v>SPI</c:v>
                </c:pt>
              </c:strCache>
            </c:strRef>
          </c:tx>
          <c:spPr>
            <a:ln w="28575" cmpd="sng">
              <a:solidFill>
                <a:schemeClr val="accent1"/>
              </a:solidFill>
            </a:ln>
          </c:spPr>
          <c:marker>
            <c:symbol val="none"/>
          </c:marker>
          <c:cat>
            <c:numRef>
              <c:f>'42. Flores'!$AZ$6:$AZ$9</c:f>
              <c:numCache>
                <c:formatCode>mmm\-yy</c:formatCode>
                <c:ptCount val="4"/>
                <c:pt idx="0">
                  <c:v>45047</c:v>
                </c:pt>
                <c:pt idx="1">
                  <c:v>45078</c:v>
                </c:pt>
                <c:pt idx="2">
                  <c:v>45108</c:v>
                </c:pt>
                <c:pt idx="3">
                  <c:v>45139</c:v>
                </c:pt>
              </c:numCache>
            </c:numRef>
          </c:cat>
          <c:val>
            <c:numRef>
              <c:f>'42. Flores'!$BA$11:$BA$19</c:f>
              <c:numCache>
                <c:formatCode>#,##0.00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F5B9-4813-A6F4-82F8CE3BB4F0}"/>
            </c:ext>
          </c:extLst>
        </c:ser>
        <c:ser>
          <c:idx val="1"/>
          <c:order val="1"/>
          <c:tx>
            <c:strRef>
              <c:f>'42. Flores'!$BB$5</c:f>
              <c:strCache>
                <c:ptCount val="1"/>
                <c:pt idx="0">
                  <c:v>CPI</c:v>
                </c:pt>
              </c:strCache>
            </c:strRef>
          </c:tx>
          <c:marker>
            <c:symbol val="none"/>
          </c:marker>
          <c:cat>
            <c:numRef>
              <c:f>'42. Flores'!$AZ$6:$AZ$9</c:f>
              <c:numCache>
                <c:formatCode>mmm\-yy</c:formatCode>
                <c:ptCount val="4"/>
                <c:pt idx="0">
                  <c:v>45047</c:v>
                </c:pt>
                <c:pt idx="1">
                  <c:v>45078</c:v>
                </c:pt>
                <c:pt idx="2">
                  <c:v>45108</c:v>
                </c:pt>
                <c:pt idx="3">
                  <c:v>45139</c:v>
                </c:pt>
              </c:numCache>
            </c:numRef>
          </c:cat>
          <c:val>
            <c:numRef>
              <c:f>'42. Flores'!$BB$6:$BB$9</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F5B9-4813-A6F4-82F8CE3BB4F0}"/>
            </c:ext>
          </c:extLst>
        </c:ser>
        <c:ser>
          <c:idx val="2"/>
          <c:order val="2"/>
          <c:tx>
            <c:strRef>
              <c:f>'42. Flores'!$BC$5</c:f>
              <c:strCache>
                <c:ptCount val="1"/>
                <c:pt idx="0">
                  <c:v>TCPI</c:v>
                </c:pt>
              </c:strCache>
            </c:strRef>
          </c:tx>
          <c:marker>
            <c:symbol val="none"/>
          </c:marker>
          <c:cat>
            <c:numRef>
              <c:f>'42. Flores'!$AZ$6:$AZ$9</c:f>
              <c:numCache>
                <c:formatCode>mmm\-yy</c:formatCode>
                <c:ptCount val="4"/>
                <c:pt idx="0">
                  <c:v>45047</c:v>
                </c:pt>
                <c:pt idx="1">
                  <c:v>45078</c:v>
                </c:pt>
                <c:pt idx="2">
                  <c:v>45108</c:v>
                </c:pt>
                <c:pt idx="3">
                  <c:v>45139</c:v>
                </c:pt>
              </c:numCache>
            </c:numRef>
          </c:cat>
          <c:val>
            <c:numRef>
              <c:f>'42. Flores'!$BC$6:$BC$9</c:f>
              <c:numCache>
                <c:formatCode>#,##0.00</c:formatCode>
                <c:ptCount val="4"/>
                <c:pt idx="0">
                  <c:v>0.96</c:v>
                </c:pt>
                <c:pt idx="1">
                  <c:v>0</c:v>
                </c:pt>
                <c:pt idx="2">
                  <c:v>0</c:v>
                </c:pt>
                <c:pt idx="3">
                  <c:v>0</c:v>
                </c:pt>
              </c:numCache>
            </c:numRef>
          </c:val>
          <c:smooth val="0"/>
          <c:extLst>
            <c:ext xmlns:c16="http://schemas.microsoft.com/office/drawing/2014/chart" uri="{C3380CC4-5D6E-409C-BE32-E72D297353CC}">
              <c16:uniqueId val="{00000002-F5B9-4813-A6F4-82F8CE3BB4F0}"/>
            </c:ext>
          </c:extLst>
        </c:ser>
        <c:dLbls>
          <c:showLegendKey val="0"/>
          <c:showVal val="0"/>
          <c:showCatName val="0"/>
          <c:showSerName val="0"/>
          <c:showPercent val="0"/>
          <c:showBubbleSize val="0"/>
        </c:dLbls>
        <c:smooth val="0"/>
        <c:axId val="1347311342"/>
        <c:axId val="1224184864"/>
      </c:lineChart>
      <c:dateAx>
        <c:axId val="1347311342"/>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mn-lt"/>
              </a:defRPr>
            </a:pPr>
            <a:endParaRPr lang="es-CR"/>
          </a:p>
        </c:txPr>
        <c:crossAx val="1224184864"/>
        <c:crosses val="autoZero"/>
        <c:auto val="1"/>
        <c:lblOffset val="100"/>
        <c:baseTimeUnit val="months"/>
      </c:dateAx>
      <c:valAx>
        <c:axId val="1224184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s-CR"/>
          </a:p>
        </c:txPr>
        <c:crossAx val="1347311342"/>
        <c:crosses val="autoZero"/>
        <c:crossBetween val="between"/>
      </c:valAx>
    </c:plotArea>
    <c:legend>
      <c:legendPos val="r"/>
      <c:overlay val="0"/>
      <c:txPr>
        <a:bodyPr/>
        <a:lstStyle/>
        <a:p>
          <a:pPr lvl="0" rt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11 de mayo de 2023. 
Periodo que reporta: Abril 2023.&amp;DAprobado por:    
Ing. Pablo Camacho Salazar</c:oddHeader>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0"/>
          <c:order val="0"/>
          <c:tx>
            <c:v>Línea Base</c:v>
          </c:tx>
          <c:spPr>
            <a:ln w="28575" cmpd="sng">
              <a:solidFill>
                <a:schemeClr val="accent6"/>
              </a:solidFill>
              <a:prstDash val="dash"/>
            </a:ln>
          </c:spPr>
          <c:marker>
            <c:symbol val="none"/>
          </c:marker>
          <c:cat>
            <c:numRef>
              <c:f>'42. Flores'!$BF$6:$BF$8</c:f>
              <c:numCache>
                <c:formatCode>mmm\-yy</c:formatCode>
                <c:ptCount val="3"/>
                <c:pt idx="0">
                  <c:v>45047</c:v>
                </c:pt>
                <c:pt idx="1">
                  <c:v>45078</c:v>
                </c:pt>
                <c:pt idx="2">
                  <c:v>45108</c:v>
                </c:pt>
              </c:numCache>
            </c:numRef>
          </c:cat>
          <c:val>
            <c:numRef>
              <c:f>'42. Flores'!$BG$6:$BG$8</c:f>
              <c:numCache>
                <c:formatCode>"₡"#\ ##0.00</c:formatCode>
                <c:ptCount val="3"/>
                <c:pt idx="0">
                  <c:v>63.4</c:v>
                </c:pt>
                <c:pt idx="1">
                  <c:v>273.02</c:v>
                </c:pt>
                <c:pt idx="2">
                  <c:v>542.5</c:v>
                </c:pt>
              </c:numCache>
            </c:numRef>
          </c:val>
          <c:smooth val="0"/>
          <c:extLst>
            <c:ext xmlns:c16="http://schemas.microsoft.com/office/drawing/2014/chart" uri="{C3380CC4-5D6E-409C-BE32-E72D297353CC}">
              <c16:uniqueId val="{00000000-3DF9-4896-9F92-62ABDC224BEC}"/>
            </c:ext>
          </c:extLst>
        </c:ser>
        <c:ser>
          <c:idx val="1"/>
          <c:order val="1"/>
          <c:spPr>
            <a:ln w="28575" cmpd="sng">
              <a:solidFill>
                <a:srgbClr val="0070C0">
                  <a:alpha val="100000"/>
                </a:srgbClr>
              </a:solidFill>
            </a:ln>
          </c:spPr>
          <c:marker>
            <c:symbol val="none"/>
          </c:marker>
          <c:cat>
            <c:numRef>
              <c:f>'42. Flores'!$BF$6:$BF$8</c:f>
              <c:numCache>
                <c:formatCode>mmm\-yy</c:formatCode>
                <c:ptCount val="3"/>
                <c:pt idx="0">
                  <c:v>45047</c:v>
                </c:pt>
                <c:pt idx="1">
                  <c:v>45078</c:v>
                </c:pt>
                <c:pt idx="2">
                  <c:v>45108</c:v>
                </c:pt>
              </c:numCache>
            </c:numRef>
          </c:cat>
          <c:val>
            <c:numRef>
              <c:f>'42. Flores'!$BI$6:$BI$8</c:f>
              <c:numCache>
                <c:formatCode>"₡"#\ ##0.00</c:formatCode>
                <c:ptCount val="3"/>
                <c:pt idx="0">
                  <c:v>56.1</c:v>
                </c:pt>
                <c:pt idx="1">
                  <c:v>241.6</c:v>
                </c:pt>
                <c:pt idx="2">
                  <c:v>480.07</c:v>
                </c:pt>
              </c:numCache>
            </c:numRef>
          </c:val>
          <c:smooth val="0"/>
          <c:extLst>
            <c:ext xmlns:c16="http://schemas.microsoft.com/office/drawing/2014/chart" uri="{C3380CC4-5D6E-409C-BE32-E72D297353CC}">
              <c16:uniqueId val="{00000001-3DF9-4896-9F92-62ABDC224BEC}"/>
            </c:ext>
          </c:extLst>
        </c:ser>
        <c:ser>
          <c:idx val="2"/>
          <c:order val="2"/>
          <c:tx>
            <c:v>Físico Ejecutado</c:v>
          </c:tx>
          <c:spPr>
            <a:ln w="28575" cmpd="sng">
              <a:solidFill>
                <a:schemeClr val="accent4"/>
              </a:solidFill>
              <a:prstDash val="sysDot"/>
            </a:ln>
          </c:spPr>
          <c:marker>
            <c:symbol val="none"/>
          </c:marker>
          <c:cat>
            <c:numRef>
              <c:f>'42. Flores'!$BF$6:$BF$8</c:f>
              <c:numCache>
                <c:formatCode>mmm\-yy</c:formatCode>
                <c:ptCount val="3"/>
                <c:pt idx="0">
                  <c:v>45047</c:v>
                </c:pt>
                <c:pt idx="1">
                  <c:v>45078</c:v>
                </c:pt>
                <c:pt idx="2">
                  <c:v>45108</c:v>
                </c:pt>
              </c:numCache>
            </c:numRef>
          </c:cat>
          <c:val>
            <c:numRef>
              <c:f>'42. Flores'!$BJ$6:$BJ$8</c:f>
              <c:numCache>
                <c:formatCode>"₡"#\ ##0.00</c:formatCode>
                <c:ptCount val="3"/>
                <c:pt idx="0">
                  <c:v>51.62</c:v>
                </c:pt>
                <c:pt idx="1">
                  <c:v>51.62</c:v>
                </c:pt>
                <c:pt idx="2">
                  <c:v>51.62</c:v>
                </c:pt>
              </c:numCache>
            </c:numRef>
          </c:val>
          <c:smooth val="0"/>
          <c:extLst>
            <c:ext xmlns:c16="http://schemas.microsoft.com/office/drawing/2014/chart" uri="{C3380CC4-5D6E-409C-BE32-E72D297353CC}">
              <c16:uniqueId val="{00000002-3DF9-4896-9F92-62ABDC224BEC}"/>
            </c:ext>
          </c:extLst>
        </c:ser>
        <c:dLbls>
          <c:showLegendKey val="0"/>
          <c:showVal val="0"/>
          <c:showCatName val="0"/>
          <c:showSerName val="0"/>
          <c:showPercent val="0"/>
          <c:showBubbleSize val="0"/>
        </c:dLbls>
        <c:smooth val="0"/>
        <c:axId val="2031904060"/>
        <c:axId val="756858020"/>
      </c:lineChart>
      <c:dateAx>
        <c:axId val="2031904060"/>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Arial Narrow"/>
              </a:defRPr>
            </a:pPr>
            <a:endParaRPr lang="es-CR"/>
          </a:p>
        </c:txPr>
        <c:crossAx val="756858020"/>
        <c:crosses val="autoZero"/>
        <c:auto val="1"/>
        <c:lblOffset val="100"/>
        <c:baseTimeUnit val="months"/>
      </c:dateAx>
      <c:valAx>
        <c:axId val="756858020"/>
        <c:scaling>
          <c:orientation val="minMax"/>
          <c:min val="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Arial Narrow"/>
              </a:defRPr>
            </a:pPr>
            <a:endParaRPr lang="es-CR"/>
          </a:p>
        </c:txPr>
        <c:crossAx val="2031904060"/>
        <c:crosses val="autoZero"/>
        <c:crossBetween val="between"/>
      </c:valAx>
    </c:plotArea>
    <c:plotVisOnly val="1"/>
    <c:dispBlanksAs val="zero"/>
    <c:showDLblsOverMax val="1"/>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8.0624732224935214E-2"/>
          <c:y val="7.4957450781338864E-2"/>
          <c:w val="0.67026230517414231"/>
          <c:h val="0.68743869800464019"/>
        </c:manualLayout>
      </c:layout>
      <c:lineChart>
        <c:grouping val="standard"/>
        <c:varyColors val="1"/>
        <c:ser>
          <c:idx val="0"/>
          <c:order val="0"/>
          <c:tx>
            <c:strRef>
              <c:f>'6. Garza Nosara'!$BA$5</c:f>
              <c:strCache>
                <c:ptCount val="1"/>
                <c:pt idx="0">
                  <c:v>SPI</c:v>
                </c:pt>
              </c:strCache>
            </c:strRef>
          </c:tx>
          <c:spPr>
            <a:ln w="28575" cmpd="sng">
              <a:solidFill>
                <a:schemeClr val="accent1"/>
              </a:solidFill>
            </a:ln>
          </c:spPr>
          <c:marker>
            <c:symbol val="none"/>
          </c:marker>
          <c:cat>
            <c:strRef>
              <c:f>'6. Garza Nosara'!$AZ$35:$AZ$48</c:f>
              <c:strCache>
                <c:ptCount val="14"/>
                <c:pt idx="0">
                  <c:v>abr-22</c:v>
                </c:pt>
                <c:pt idx="1">
                  <c:v>may-22</c:v>
                </c:pt>
                <c:pt idx="2">
                  <c:v>jun-22</c:v>
                </c:pt>
                <c:pt idx="3">
                  <c:v>jul-22</c:v>
                </c:pt>
                <c:pt idx="4">
                  <c:v>ago-22</c:v>
                </c:pt>
                <c:pt idx="5">
                  <c:v>sep-22</c:v>
                </c:pt>
                <c:pt idx="6">
                  <c:v>oct-22</c:v>
                </c:pt>
                <c:pt idx="7">
                  <c:v>nov-22</c:v>
                </c:pt>
                <c:pt idx="8">
                  <c:v>dic-22</c:v>
                </c:pt>
                <c:pt idx="9">
                  <c:v>ene-23</c:v>
                </c:pt>
                <c:pt idx="10">
                  <c:v>feb-23</c:v>
                </c:pt>
                <c:pt idx="11">
                  <c:v>mar-23</c:v>
                </c:pt>
                <c:pt idx="12">
                  <c:v>abr-23</c:v>
                </c:pt>
                <c:pt idx="13">
                  <c:v>may-23</c:v>
                </c:pt>
              </c:strCache>
            </c:strRef>
          </c:cat>
          <c:val>
            <c:numRef>
              <c:f>'6. Garza Nosara'!$BA$35:$BA$48</c:f>
              <c:numCache>
                <c:formatCode>#,##0.00</c:formatCode>
                <c:ptCount val="14"/>
                <c:pt idx="0">
                  <c:v>0</c:v>
                </c:pt>
                <c:pt idx="1">
                  <c:v>0</c:v>
                </c:pt>
                <c:pt idx="2">
                  <c:v>1.0000000155450584</c:v>
                </c:pt>
                <c:pt idx="3">
                  <c:v>1.61</c:v>
                </c:pt>
                <c:pt idx="4">
                  <c:v>4.43</c:v>
                </c:pt>
                <c:pt idx="5">
                  <c:v>5.64</c:v>
                </c:pt>
                <c:pt idx="6">
                  <c:v>0.77</c:v>
                </c:pt>
                <c:pt idx="7">
                  <c:v>0.77</c:v>
                </c:pt>
                <c:pt idx="8">
                  <c:v>1</c:v>
                </c:pt>
                <c:pt idx="9">
                  <c:v>1</c:v>
                </c:pt>
                <c:pt idx="10">
                  <c:v>1</c:v>
                </c:pt>
                <c:pt idx="11">
                  <c:v>1</c:v>
                </c:pt>
                <c:pt idx="12">
                  <c:v>1</c:v>
                </c:pt>
                <c:pt idx="13">
                  <c:v>1</c:v>
                </c:pt>
              </c:numCache>
            </c:numRef>
          </c:val>
          <c:smooth val="0"/>
          <c:extLst>
            <c:ext xmlns:c16="http://schemas.microsoft.com/office/drawing/2014/chart" uri="{C3380CC4-5D6E-409C-BE32-E72D297353CC}">
              <c16:uniqueId val="{00000000-34C6-403D-9E57-03520DE8AA8E}"/>
            </c:ext>
          </c:extLst>
        </c:ser>
        <c:ser>
          <c:idx val="1"/>
          <c:order val="1"/>
          <c:tx>
            <c:strRef>
              <c:f>'6. Garza Nosara'!$BB$5</c:f>
              <c:strCache>
                <c:ptCount val="1"/>
                <c:pt idx="0">
                  <c:v>CPI</c:v>
                </c:pt>
              </c:strCache>
            </c:strRef>
          </c:tx>
          <c:marker>
            <c:symbol val="none"/>
          </c:marker>
          <c:cat>
            <c:strRef>
              <c:f>'6. Garza Nosara'!$AZ$35:$AZ$48</c:f>
              <c:strCache>
                <c:ptCount val="14"/>
                <c:pt idx="0">
                  <c:v>abr-22</c:v>
                </c:pt>
                <c:pt idx="1">
                  <c:v>may-22</c:v>
                </c:pt>
                <c:pt idx="2">
                  <c:v>jun-22</c:v>
                </c:pt>
                <c:pt idx="3">
                  <c:v>jul-22</c:v>
                </c:pt>
                <c:pt idx="4">
                  <c:v>ago-22</c:v>
                </c:pt>
                <c:pt idx="5">
                  <c:v>sep-22</c:v>
                </c:pt>
                <c:pt idx="6">
                  <c:v>oct-22</c:v>
                </c:pt>
                <c:pt idx="7">
                  <c:v>nov-22</c:v>
                </c:pt>
                <c:pt idx="8">
                  <c:v>dic-22</c:v>
                </c:pt>
                <c:pt idx="9">
                  <c:v>ene-23</c:v>
                </c:pt>
                <c:pt idx="10">
                  <c:v>feb-23</c:v>
                </c:pt>
                <c:pt idx="11">
                  <c:v>mar-23</c:v>
                </c:pt>
                <c:pt idx="12">
                  <c:v>abr-23</c:v>
                </c:pt>
                <c:pt idx="13">
                  <c:v>may-23</c:v>
                </c:pt>
              </c:strCache>
            </c:strRef>
          </c:cat>
          <c:val>
            <c:numRef>
              <c:f>'6. Garza Nosara'!$BB$35:$BB$48</c:f>
              <c:numCache>
                <c:formatCode>#,##0.00</c:formatCode>
                <c:ptCount val="14"/>
                <c:pt idx="0">
                  <c:v>0</c:v>
                </c:pt>
                <c:pt idx="1">
                  <c:v>0</c:v>
                </c:pt>
                <c:pt idx="2">
                  <c:v>1.3636785699574201</c:v>
                </c:pt>
                <c:pt idx="3">
                  <c:v>1.96</c:v>
                </c:pt>
                <c:pt idx="4">
                  <c:v>1.38</c:v>
                </c:pt>
                <c:pt idx="5">
                  <c:v>1.76</c:v>
                </c:pt>
                <c:pt idx="6">
                  <c:v>2.12</c:v>
                </c:pt>
                <c:pt idx="7">
                  <c:v>1.82</c:v>
                </c:pt>
                <c:pt idx="8">
                  <c:v>2.1</c:v>
                </c:pt>
                <c:pt idx="9">
                  <c:v>1.66</c:v>
                </c:pt>
                <c:pt idx="10">
                  <c:v>1.56</c:v>
                </c:pt>
                <c:pt idx="11">
                  <c:v>1.56</c:v>
                </c:pt>
                <c:pt idx="12">
                  <c:v>1.56</c:v>
                </c:pt>
                <c:pt idx="13">
                  <c:v>1.36</c:v>
                </c:pt>
              </c:numCache>
            </c:numRef>
          </c:val>
          <c:smooth val="0"/>
          <c:extLst>
            <c:ext xmlns:c16="http://schemas.microsoft.com/office/drawing/2014/chart" uri="{C3380CC4-5D6E-409C-BE32-E72D297353CC}">
              <c16:uniqueId val="{00000005-EA8B-4D37-8694-F9D65DF5668D}"/>
            </c:ext>
          </c:extLst>
        </c:ser>
        <c:ser>
          <c:idx val="2"/>
          <c:order val="2"/>
          <c:tx>
            <c:strRef>
              <c:f>'6. Garza Nosara'!$BC$5</c:f>
              <c:strCache>
                <c:ptCount val="1"/>
                <c:pt idx="0">
                  <c:v>TCPI</c:v>
                </c:pt>
              </c:strCache>
            </c:strRef>
          </c:tx>
          <c:marker>
            <c:symbol val="none"/>
          </c:marker>
          <c:cat>
            <c:strRef>
              <c:f>'6. Garza Nosara'!$AZ$35:$AZ$48</c:f>
              <c:strCache>
                <c:ptCount val="14"/>
                <c:pt idx="0">
                  <c:v>abr-22</c:v>
                </c:pt>
                <c:pt idx="1">
                  <c:v>may-22</c:v>
                </c:pt>
                <c:pt idx="2">
                  <c:v>jun-22</c:v>
                </c:pt>
                <c:pt idx="3">
                  <c:v>jul-22</c:v>
                </c:pt>
                <c:pt idx="4">
                  <c:v>ago-22</c:v>
                </c:pt>
                <c:pt idx="5">
                  <c:v>sep-22</c:v>
                </c:pt>
                <c:pt idx="6">
                  <c:v>oct-22</c:v>
                </c:pt>
                <c:pt idx="7">
                  <c:v>nov-22</c:v>
                </c:pt>
                <c:pt idx="8">
                  <c:v>dic-22</c:v>
                </c:pt>
                <c:pt idx="9">
                  <c:v>ene-23</c:v>
                </c:pt>
                <c:pt idx="10">
                  <c:v>feb-23</c:v>
                </c:pt>
                <c:pt idx="11">
                  <c:v>mar-23</c:v>
                </c:pt>
                <c:pt idx="12">
                  <c:v>abr-23</c:v>
                </c:pt>
                <c:pt idx="13">
                  <c:v>may-23</c:v>
                </c:pt>
              </c:strCache>
            </c:strRef>
          </c:cat>
          <c:val>
            <c:numRef>
              <c:f>'6. Garza Nosara'!$BC$35:$BC$48</c:f>
              <c:numCache>
                <c:formatCode>#,##0.00</c:formatCode>
                <c:ptCount val="14"/>
                <c:pt idx="0">
                  <c:v>0</c:v>
                </c:pt>
                <c:pt idx="1">
                  <c:v>0</c:v>
                </c:pt>
                <c:pt idx="2">
                  <c:v>-5.8289009848477012E-8</c:v>
                </c:pt>
                <c:pt idx="3">
                  <c:v>0.9</c:v>
                </c:pt>
                <c:pt idx="4">
                  <c:v>0.76</c:v>
                </c:pt>
                <c:pt idx="5">
                  <c:v>0.5</c:v>
                </c:pt>
                <c:pt idx="6">
                  <c:v>0.36</c:v>
                </c:pt>
                <c:pt idx="7">
                  <c:v>0.4</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6-EA8B-4D37-8694-F9D65DF5668D}"/>
            </c:ext>
          </c:extLst>
        </c:ser>
        <c:dLbls>
          <c:showLegendKey val="0"/>
          <c:showVal val="0"/>
          <c:showCatName val="0"/>
          <c:showSerName val="0"/>
          <c:showPercent val="0"/>
          <c:showBubbleSize val="0"/>
        </c:dLbls>
        <c:smooth val="0"/>
        <c:axId val="1347311342"/>
        <c:axId val="1224184864"/>
      </c:lineChart>
      <c:catAx>
        <c:axId val="1347311342"/>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R"/>
          </a:p>
        </c:txPr>
        <c:crossAx val="1224184864"/>
        <c:crosses val="autoZero"/>
        <c:auto val="1"/>
        <c:lblAlgn val="ctr"/>
        <c:lblOffset val="100"/>
        <c:noMultiLvlLbl val="1"/>
      </c:catAx>
      <c:valAx>
        <c:axId val="1224184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s-CR"/>
          </a:p>
        </c:txPr>
        <c:crossAx val="1347311342"/>
        <c:crosses val="autoZero"/>
        <c:crossBetween val="between"/>
      </c:valAx>
    </c:plotArea>
    <c:legend>
      <c:legendPos val="r"/>
      <c:overlay val="0"/>
      <c:txPr>
        <a:bodyPr/>
        <a:lstStyle/>
        <a:p>
          <a:pPr lvl="0" rt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11 de julio de 2022. 
Periodo que reporta: Junio 2022.&amp;DAprobado por:    
Ing. Pablo Contreras Vásquez</c:oddHeader>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lineChart>
        <c:grouping val="standard"/>
        <c:varyColors val="1"/>
        <c:ser>
          <c:idx val="0"/>
          <c:order val="0"/>
          <c:tx>
            <c:v>Línea Base</c:v>
          </c:tx>
          <c:spPr>
            <a:ln w="28575" cmpd="sng">
              <a:solidFill>
                <a:schemeClr val="accent6"/>
              </a:solidFill>
              <a:prstDash val="dash"/>
            </a:ln>
          </c:spPr>
          <c:marker>
            <c:symbol val="none"/>
          </c:marker>
          <c:cat>
            <c:numRef>
              <c:f>'6. Garza Nosara'!$BF$6:$BF$8</c:f>
              <c:numCache>
                <c:formatCode>mmm\-yy</c:formatCode>
                <c:ptCount val="3"/>
                <c:pt idx="0">
                  <c:v>45008</c:v>
                </c:pt>
                <c:pt idx="1">
                  <c:v>45039</c:v>
                </c:pt>
                <c:pt idx="2">
                  <c:v>45069</c:v>
                </c:pt>
              </c:numCache>
            </c:numRef>
          </c:cat>
          <c:val>
            <c:numRef>
              <c:f>'6. Garza Nosara'!$BG$6:$BG$8</c:f>
              <c:numCache>
                <c:formatCode>"₡"#\ ##0.00</c:formatCode>
                <c:ptCount val="3"/>
                <c:pt idx="0">
                  <c:v>0</c:v>
                </c:pt>
                <c:pt idx="1">
                  <c:v>0</c:v>
                </c:pt>
                <c:pt idx="2">
                  <c:v>0</c:v>
                </c:pt>
              </c:numCache>
            </c:numRef>
          </c:val>
          <c:smooth val="0"/>
          <c:extLst>
            <c:ext xmlns:c16="http://schemas.microsoft.com/office/drawing/2014/chart" uri="{C3380CC4-5D6E-409C-BE32-E72D297353CC}">
              <c16:uniqueId val="{00000000-0DFF-40DE-95EF-FDFA710B1A0B}"/>
            </c:ext>
          </c:extLst>
        </c:ser>
        <c:ser>
          <c:idx val="1"/>
          <c:order val="1"/>
          <c:spPr>
            <a:ln w="28575" cmpd="sng">
              <a:solidFill>
                <a:srgbClr val="0070C0">
                  <a:alpha val="100000"/>
                </a:srgbClr>
              </a:solidFill>
            </a:ln>
          </c:spPr>
          <c:marker>
            <c:symbol val="none"/>
          </c:marker>
          <c:cat>
            <c:numRef>
              <c:f>'6. Garza Nosara'!$BF$6:$BF$8</c:f>
              <c:numCache>
                <c:formatCode>mmm\-yy</c:formatCode>
                <c:ptCount val="3"/>
                <c:pt idx="0">
                  <c:v>45008</c:v>
                </c:pt>
                <c:pt idx="1">
                  <c:v>45039</c:v>
                </c:pt>
                <c:pt idx="2">
                  <c:v>45069</c:v>
                </c:pt>
              </c:numCache>
            </c:numRef>
          </c:cat>
          <c:val>
            <c:numRef>
              <c:f>'6. Garza Nosara'!$BI$6:$BI$8</c:f>
              <c:numCache>
                <c:formatCode>"₡"#\ ##0.00</c:formatCode>
                <c:ptCount val="3"/>
                <c:pt idx="0">
                  <c:v>1161.67</c:v>
                </c:pt>
                <c:pt idx="1">
                  <c:v>1237.51</c:v>
                </c:pt>
                <c:pt idx="2">
                  <c:v>1313.35</c:v>
                </c:pt>
              </c:numCache>
            </c:numRef>
          </c:val>
          <c:smooth val="0"/>
          <c:extLst>
            <c:ext xmlns:c16="http://schemas.microsoft.com/office/drawing/2014/chart" uri="{C3380CC4-5D6E-409C-BE32-E72D297353CC}">
              <c16:uniqueId val="{00000001-0DFF-40DE-95EF-FDFA710B1A0B}"/>
            </c:ext>
          </c:extLst>
        </c:ser>
        <c:ser>
          <c:idx val="2"/>
          <c:order val="2"/>
          <c:tx>
            <c:v>Físico Ejecutado</c:v>
          </c:tx>
          <c:spPr>
            <a:ln w="28575" cmpd="sng">
              <a:solidFill>
                <a:schemeClr val="accent4"/>
              </a:solidFill>
              <a:prstDash val="sysDot"/>
            </a:ln>
          </c:spPr>
          <c:marker>
            <c:symbol val="none"/>
          </c:marker>
          <c:cat>
            <c:numRef>
              <c:f>'6. Garza Nosara'!$BF$6:$BF$8</c:f>
              <c:numCache>
                <c:formatCode>mmm\-yy</c:formatCode>
                <c:ptCount val="3"/>
                <c:pt idx="0">
                  <c:v>45008</c:v>
                </c:pt>
                <c:pt idx="1">
                  <c:v>45039</c:v>
                </c:pt>
                <c:pt idx="2">
                  <c:v>45069</c:v>
                </c:pt>
              </c:numCache>
            </c:numRef>
          </c:cat>
          <c:val>
            <c:numRef>
              <c:f>'6. Garza Nosara'!$BJ$6:$BJ$8</c:f>
              <c:numCache>
                <c:formatCode>"₡"#\ ##0.00</c:formatCode>
                <c:ptCount val="3"/>
                <c:pt idx="0">
                  <c:v>1323.49</c:v>
                </c:pt>
                <c:pt idx="1">
                  <c:v>1373.49</c:v>
                </c:pt>
                <c:pt idx="2">
                  <c:v>1423.49</c:v>
                </c:pt>
              </c:numCache>
            </c:numRef>
          </c:val>
          <c:smooth val="0"/>
          <c:extLst>
            <c:ext xmlns:c16="http://schemas.microsoft.com/office/drawing/2014/chart" uri="{C3380CC4-5D6E-409C-BE32-E72D297353CC}">
              <c16:uniqueId val="{00000002-0DFF-40DE-95EF-FDFA710B1A0B}"/>
            </c:ext>
          </c:extLst>
        </c:ser>
        <c:dLbls>
          <c:showLegendKey val="0"/>
          <c:showVal val="0"/>
          <c:showCatName val="0"/>
          <c:showSerName val="0"/>
          <c:showPercent val="0"/>
          <c:showBubbleSize val="0"/>
        </c:dLbls>
        <c:smooth val="0"/>
        <c:axId val="2031904060"/>
        <c:axId val="756858020"/>
      </c:lineChart>
      <c:dateAx>
        <c:axId val="2031904060"/>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Arial Narrow"/>
              </a:defRPr>
            </a:pPr>
            <a:endParaRPr lang="es-CR"/>
          </a:p>
        </c:txPr>
        <c:crossAx val="756858020"/>
        <c:crosses val="autoZero"/>
        <c:auto val="1"/>
        <c:lblOffset val="100"/>
        <c:baseTimeUnit val="months"/>
      </c:dateAx>
      <c:valAx>
        <c:axId val="756858020"/>
        <c:scaling>
          <c:orientation val="minMax"/>
          <c:min val="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Arial Narrow"/>
              </a:defRPr>
            </a:pPr>
            <a:endParaRPr lang="es-CR"/>
          </a:p>
        </c:txPr>
        <c:crossAx val="2031904060"/>
        <c:crosses val="autoZero"/>
        <c:crossBetween val="between"/>
      </c:valAx>
    </c:plotArea>
    <c:plotVisOnly val="1"/>
    <c:dispBlanksAs val="zero"/>
    <c:showDLblsOverMax val="1"/>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5519081734198E-2"/>
          <c:y val="0.11193420129414516"/>
          <c:w val="0.90829277676986131"/>
          <c:h val="0.68164543068480077"/>
        </c:manualLayout>
      </c:layout>
      <c:lineChart>
        <c:grouping val="standard"/>
        <c:varyColors val="1"/>
        <c:ser>
          <c:idx val="0"/>
          <c:order val="0"/>
          <c:tx>
            <c:v>Financiero Ejecutado</c:v>
          </c:tx>
          <c:spPr>
            <a:ln w="28575" cmpd="sng">
              <a:solidFill>
                <a:schemeClr val="accent6"/>
              </a:solidFill>
              <a:prstDash val="dash"/>
            </a:ln>
          </c:spPr>
          <c:marker>
            <c:symbol val="circle"/>
            <c:size val="6"/>
            <c:spPr>
              <a:solidFill>
                <a:schemeClr val="accent6"/>
              </a:solidFill>
              <a:ln cmpd="sng">
                <a:solidFill>
                  <a:schemeClr val="accent6"/>
                </a:solidFill>
              </a:ln>
            </c:spPr>
          </c:marker>
          <c:cat>
            <c:strRef>
              <c:f>'8. Seráfico'!$AN$6:$AN$16</c:f>
              <c:strCache>
                <c:ptCount val="11"/>
                <c:pt idx="0">
                  <c:v>abril-23</c:v>
                </c:pt>
                <c:pt idx="1">
                  <c:v>may-23</c:v>
                </c:pt>
                <c:pt idx="2">
                  <c:v>jun-23</c:v>
                </c:pt>
                <c:pt idx="3">
                  <c:v>jul-23</c:v>
                </c:pt>
                <c:pt idx="4">
                  <c:v>ago-23</c:v>
                </c:pt>
                <c:pt idx="5">
                  <c:v>sep-23</c:v>
                </c:pt>
                <c:pt idx="6">
                  <c:v>oct-23</c:v>
                </c:pt>
                <c:pt idx="7">
                  <c:v>nov-23</c:v>
                </c:pt>
                <c:pt idx="8">
                  <c:v>dic-23</c:v>
                </c:pt>
                <c:pt idx="9">
                  <c:v>ene-24</c:v>
                </c:pt>
                <c:pt idx="10">
                  <c:v>feb-24</c:v>
                </c:pt>
              </c:strCache>
            </c:strRef>
          </c:cat>
          <c:val>
            <c:numRef>
              <c:f>'8. Seráfico'!$AQ$6:$AQ$16</c:f>
              <c:numCache>
                <c:formatCode>"₡"#\ ##0.00</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0-AE42-4322-AA0D-7543FD03CF89}"/>
            </c:ext>
          </c:extLst>
        </c:ser>
        <c:ser>
          <c:idx val="1"/>
          <c:order val="1"/>
          <c:tx>
            <c:v>Línea Base </c:v>
          </c:tx>
          <c:spPr>
            <a:ln w="28575" cmpd="sng">
              <a:solidFill>
                <a:srgbClr val="0070C0">
                  <a:alpha val="100000"/>
                </a:srgbClr>
              </a:solidFill>
            </a:ln>
          </c:spPr>
          <c:marker>
            <c:symbol val="circle"/>
            <c:size val="5"/>
            <c:spPr>
              <a:solidFill>
                <a:srgbClr val="0070C0">
                  <a:alpha val="100000"/>
                </a:srgbClr>
              </a:solidFill>
              <a:ln cmpd="sng">
                <a:solidFill>
                  <a:srgbClr val="0070C0">
                    <a:alpha val="100000"/>
                  </a:srgbClr>
                </a:solidFill>
              </a:ln>
            </c:spPr>
          </c:marker>
          <c:cat>
            <c:strRef>
              <c:f>'8. Seráfico'!$AN$6:$AN$16</c:f>
              <c:strCache>
                <c:ptCount val="11"/>
                <c:pt idx="0">
                  <c:v>abril-23</c:v>
                </c:pt>
                <c:pt idx="1">
                  <c:v>may-23</c:v>
                </c:pt>
                <c:pt idx="2">
                  <c:v>jun-23</c:v>
                </c:pt>
                <c:pt idx="3">
                  <c:v>jul-23</c:v>
                </c:pt>
                <c:pt idx="4">
                  <c:v>ago-23</c:v>
                </c:pt>
                <c:pt idx="5">
                  <c:v>sep-23</c:v>
                </c:pt>
                <c:pt idx="6">
                  <c:v>oct-23</c:v>
                </c:pt>
                <c:pt idx="7">
                  <c:v>nov-23</c:v>
                </c:pt>
                <c:pt idx="8">
                  <c:v>dic-23</c:v>
                </c:pt>
                <c:pt idx="9">
                  <c:v>ene-24</c:v>
                </c:pt>
                <c:pt idx="10">
                  <c:v>feb-24</c:v>
                </c:pt>
              </c:strCache>
            </c:strRef>
          </c:cat>
          <c:val>
            <c:numRef>
              <c:f>'8. Seráfico'!$AO$6:$AO$16</c:f>
              <c:numCache>
                <c:formatCode>"₡"#\ ##0.00</c:formatCode>
                <c:ptCount val="11"/>
                <c:pt idx="0">
                  <c:v>15.4</c:v>
                </c:pt>
                <c:pt idx="1">
                  <c:v>152.1</c:v>
                </c:pt>
                <c:pt idx="2">
                  <c:v>355.4</c:v>
                </c:pt>
                <c:pt idx="3">
                  <c:v>621.14</c:v>
                </c:pt>
                <c:pt idx="4">
                  <c:v>752.94</c:v>
                </c:pt>
                <c:pt idx="5">
                  <c:v>815.04000000000008</c:v>
                </c:pt>
                <c:pt idx="6">
                  <c:v>970.04000000000008</c:v>
                </c:pt>
                <c:pt idx="7">
                  <c:v>1121.1400000000001</c:v>
                </c:pt>
                <c:pt idx="8">
                  <c:v>1315.74</c:v>
                </c:pt>
                <c:pt idx="9">
                  <c:v>1413.54</c:v>
                </c:pt>
                <c:pt idx="10">
                  <c:v>1428.34</c:v>
                </c:pt>
              </c:numCache>
            </c:numRef>
          </c:val>
          <c:smooth val="1"/>
          <c:extLst>
            <c:ext xmlns:c16="http://schemas.microsoft.com/office/drawing/2014/chart" uri="{C3380CC4-5D6E-409C-BE32-E72D297353CC}">
              <c16:uniqueId val="{00000001-AE42-4322-AA0D-7543FD03CF89}"/>
            </c:ext>
          </c:extLst>
        </c:ser>
        <c:ser>
          <c:idx val="2"/>
          <c:order val="2"/>
          <c:tx>
            <c:v>Físico ejecutado (mills)</c:v>
          </c:tx>
          <c:spPr>
            <a:ln w="28575" cmpd="sng">
              <a:solidFill>
                <a:schemeClr val="accent4"/>
              </a:solidFill>
              <a:prstDash val="sysDot"/>
            </a:ln>
          </c:spPr>
          <c:marker>
            <c:symbol val="circle"/>
            <c:size val="5"/>
            <c:spPr>
              <a:solidFill>
                <a:schemeClr val="accent4"/>
              </a:solidFill>
              <a:ln cmpd="sng">
                <a:solidFill>
                  <a:schemeClr val="accent4"/>
                </a:solidFill>
              </a:ln>
            </c:spPr>
          </c:marker>
          <c:cat>
            <c:strRef>
              <c:f>'8. Seráfico'!$AN$6:$AN$16</c:f>
              <c:strCache>
                <c:ptCount val="11"/>
                <c:pt idx="0">
                  <c:v>abril-23</c:v>
                </c:pt>
                <c:pt idx="1">
                  <c:v>may-23</c:v>
                </c:pt>
                <c:pt idx="2">
                  <c:v>jun-23</c:v>
                </c:pt>
                <c:pt idx="3">
                  <c:v>jul-23</c:v>
                </c:pt>
                <c:pt idx="4">
                  <c:v>ago-23</c:v>
                </c:pt>
                <c:pt idx="5">
                  <c:v>sep-23</c:v>
                </c:pt>
                <c:pt idx="6">
                  <c:v>oct-23</c:v>
                </c:pt>
                <c:pt idx="7">
                  <c:v>nov-23</c:v>
                </c:pt>
                <c:pt idx="8">
                  <c:v>dic-23</c:v>
                </c:pt>
                <c:pt idx="9">
                  <c:v>ene-24</c:v>
                </c:pt>
                <c:pt idx="10">
                  <c:v>feb-24</c:v>
                </c:pt>
              </c:strCache>
            </c:strRef>
          </c:cat>
          <c:val>
            <c:numRef>
              <c:f>'8. Seráfico'!$AR$6:$AR$16</c:f>
              <c:numCache>
                <c:formatCode>"₡"#\ ##0.00</c:formatCode>
                <c:ptCount val="11"/>
                <c:pt idx="0">
                  <c:v>0</c:v>
                </c:pt>
                <c:pt idx="1">
                  <c:v>0</c:v>
                </c:pt>
                <c:pt idx="2">
                  <c:v>0</c:v>
                </c:pt>
                <c:pt idx="3">
                  <c:v>0</c:v>
                </c:pt>
                <c:pt idx="4">
                  <c:v>0</c:v>
                </c:pt>
                <c:pt idx="5">
                  <c:v>0</c:v>
                </c:pt>
                <c:pt idx="6">
                  <c:v>0</c:v>
                </c:pt>
                <c:pt idx="7">
                  <c:v>0</c:v>
                </c:pt>
                <c:pt idx="8">
                  <c:v>0</c:v>
                </c:pt>
                <c:pt idx="9">
                  <c:v>0</c:v>
                </c:pt>
                <c:pt idx="10">
                  <c:v>0</c:v>
                </c:pt>
              </c:numCache>
            </c:numRef>
          </c:val>
          <c:smooth val="1"/>
          <c:extLst>
            <c:ext xmlns:c16="http://schemas.microsoft.com/office/drawing/2014/chart" uri="{C3380CC4-5D6E-409C-BE32-E72D297353CC}">
              <c16:uniqueId val="{00000002-AE42-4322-AA0D-7543FD03CF89}"/>
            </c:ext>
          </c:extLst>
        </c:ser>
        <c:dLbls>
          <c:showLegendKey val="0"/>
          <c:showVal val="0"/>
          <c:showCatName val="0"/>
          <c:showSerName val="0"/>
          <c:showPercent val="0"/>
          <c:showBubbleSize val="0"/>
        </c:dLbls>
        <c:marker val="1"/>
        <c:smooth val="0"/>
        <c:axId val="1555497528"/>
        <c:axId val="1979370746"/>
      </c:lineChart>
      <c:catAx>
        <c:axId val="1555497528"/>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R"/>
          </a:p>
        </c:txPr>
        <c:crossAx val="1979370746"/>
        <c:crosses val="autoZero"/>
        <c:auto val="1"/>
        <c:lblAlgn val="ctr"/>
        <c:lblOffset val="100"/>
        <c:noMultiLvlLbl val="1"/>
      </c:catAx>
      <c:valAx>
        <c:axId val="1979370746"/>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mn-lt"/>
              </a:defRPr>
            </a:pPr>
            <a:endParaRPr lang="es-CR"/>
          </a:p>
        </c:txPr>
        <c:crossAx val="1555497528"/>
        <c:crosses val="autoZero"/>
        <c:crossBetween val="between"/>
      </c:valAx>
    </c:plotArea>
    <c:legend>
      <c:legendPos val="b"/>
      <c:overlay val="0"/>
      <c:txPr>
        <a:bodyPr/>
        <a:lstStyle/>
        <a:p>
          <a:pPr lv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19 de abril de 2023. 
Periodo que reporta: Marzo 2023.&amp;DAprobado por:    
Ing. Pablo Camacho Salazar</c:oddHead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24732224935214E-2"/>
          <c:y val="7.4957450781338864E-2"/>
          <c:w val="0.67026230517414231"/>
          <c:h val="0.68743869800464019"/>
        </c:manualLayout>
      </c:layout>
      <c:lineChart>
        <c:grouping val="standard"/>
        <c:varyColors val="1"/>
        <c:ser>
          <c:idx val="0"/>
          <c:order val="0"/>
          <c:tx>
            <c:strRef>
              <c:f>'8. Seráfico'!$BA$5</c:f>
              <c:strCache>
                <c:ptCount val="1"/>
                <c:pt idx="0">
                  <c:v>SPI</c:v>
                </c:pt>
              </c:strCache>
            </c:strRef>
          </c:tx>
          <c:spPr>
            <a:ln w="28575" cmpd="sng">
              <a:solidFill>
                <a:schemeClr val="accent1"/>
              </a:solidFill>
            </a:ln>
          </c:spPr>
          <c:marker>
            <c:symbol val="none"/>
          </c:marker>
          <c:cat>
            <c:strRef>
              <c:f>'8. Seráfico'!$AZ$6:$AZ$9</c:f>
              <c:strCache>
                <c:ptCount val="4"/>
                <c:pt idx="0">
                  <c:v>abril-23</c:v>
                </c:pt>
                <c:pt idx="1">
                  <c:v>may-23</c:v>
                </c:pt>
                <c:pt idx="2">
                  <c:v>jun-23</c:v>
                </c:pt>
                <c:pt idx="3">
                  <c:v>jul-23</c:v>
                </c:pt>
              </c:strCache>
            </c:strRef>
          </c:cat>
          <c:val>
            <c:numRef>
              <c:f>'8. Seráfico'!$BA$6:$BA$9</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0-D0A8-4ABA-936D-12663233DBF7}"/>
            </c:ext>
          </c:extLst>
        </c:ser>
        <c:ser>
          <c:idx val="1"/>
          <c:order val="1"/>
          <c:tx>
            <c:strRef>
              <c:f>'8. Seráfico'!$BB$5</c:f>
              <c:strCache>
                <c:ptCount val="1"/>
                <c:pt idx="0">
                  <c:v>CPI</c:v>
                </c:pt>
              </c:strCache>
            </c:strRef>
          </c:tx>
          <c:marker>
            <c:symbol val="none"/>
          </c:marker>
          <c:cat>
            <c:strRef>
              <c:f>'8. Seráfico'!$AZ$6:$AZ$9</c:f>
              <c:strCache>
                <c:ptCount val="4"/>
                <c:pt idx="0">
                  <c:v>abril-23</c:v>
                </c:pt>
                <c:pt idx="1">
                  <c:v>may-23</c:v>
                </c:pt>
                <c:pt idx="2">
                  <c:v>jun-23</c:v>
                </c:pt>
                <c:pt idx="3">
                  <c:v>jul-23</c:v>
                </c:pt>
              </c:strCache>
            </c:strRef>
          </c:cat>
          <c:val>
            <c:numRef>
              <c:f>'8. Seráfico'!$BB$6:$BB$9</c:f>
              <c:numCache>
                <c:formatCode>#,##0.00</c:formatCode>
                <c:ptCount val="4"/>
                <c:pt idx="0">
                  <c:v>0</c:v>
                </c:pt>
                <c:pt idx="1">
                  <c:v>0</c:v>
                </c:pt>
                <c:pt idx="2">
                  <c:v>0</c:v>
                </c:pt>
                <c:pt idx="3">
                  <c:v>0</c:v>
                </c:pt>
              </c:numCache>
            </c:numRef>
          </c:val>
          <c:smooth val="0"/>
          <c:extLst>
            <c:ext xmlns:c16="http://schemas.microsoft.com/office/drawing/2014/chart" uri="{C3380CC4-5D6E-409C-BE32-E72D297353CC}">
              <c16:uniqueId val="{00000001-D0A8-4ABA-936D-12663233DBF7}"/>
            </c:ext>
          </c:extLst>
        </c:ser>
        <c:ser>
          <c:idx val="2"/>
          <c:order val="2"/>
          <c:tx>
            <c:strRef>
              <c:f>'8. Seráfico'!$BC$5</c:f>
              <c:strCache>
                <c:ptCount val="1"/>
                <c:pt idx="0">
                  <c:v>TCPI</c:v>
                </c:pt>
              </c:strCache>
            </c:strRef>
          </c:tx>
          <c:marker>
            <c:symbol val="none"/>
          </c:marker>
          <c:cat>
            <c:strRef>
              <c:f>'8. Seráfico'!$AZ$6:$AZ$9</c:f>
              <c:strCache>
                <c:ptCount val="4"/>
                <c:pt idx="0">
                  <c:v>abril-23</c:v>
                </c:pt>
                <c:pt idx="1">
                  <c:v>may-23</c:v>
                </c:pt>
                <c:pt idx="2">
                  <c:v>jun-23</c:v>
                </c:pt>
                <c:pt idx="3">
                  <c:v>jul-23</c:v>
                </c:pt>
              </c:strCache>
            </c:strRef>
          </c:cat>
          <c:val>
            <c:numRef>
              <c:f>'8. Seráfico'!$BC$6:$BC$9</c:f>
              <c:numCache>
                <c:formatCode>#,##0.00</c:formatCode>
                <c:ptCount val="4"/>
                <c:pt idx="0">
                  <c:v>1</c:v>
                </c:pt>
                <c:pt idx="1">
                  <c:v>1</c:v>
                </c:pt>
                <c:pt idx="2">
                  <c:v>0</c:v>
                </c:pt>
                <c:pt idx="3">
                  <c:v>0</c:v>
                </c:pt>
              </c:numCache>
            </c:numRef>
          </c:val>
          <c:smooth val="0"/>
          <c:extLst>
            <c:ext xmlns:c16="http://schemas.microsoft.com/office/drawing/2014/chart" uri="{C3380CC4-5D6E-409C-BE32-E72D297353CC}">
              <c16:uniqueId val="{00000002-D0A8-4ABA-936D-12663233DBF7}"/>
            </c:ext>
          </c:extLst>
        </c:ser>
        <c:dLbls>
          <c:showLegendKey val="0"/>
          <c:showVal val="0"/>
          <c:showCatName val="0"/>
          <c:showSerName val="0"/>
          <c:showPercent val="0"/>
          <c:showBubbleSize val="0"/>
        </c:dLbls>
        <c:smooth val="0"/>
        <c:axId val="1347311342"/>
        <c:axId val="1224184864"/>
      </c:lineChart>
      <c:catAx>
        <c:axId val="1347311342"/>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R"/>
          </a:p>
        </c:txPr>
        <c:crossAx val="1224184864"/>
        <c:crosses val="autoZero"/>
        <c:auto val="1"/>
        <c:lblAlgn val="ctr"/>
        <c:lblOffset val="100"/>
        <c:noMultiLvlLbl val="1"/>
      </c:catAx>
      <c:valAx>
        <c:axId val="1224184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s-CR"/>
          </a:p>
        </c:txPr>
        <c:crossAx val="1347311342"/>
        <c:crosses val="autoZero"/>
        <c:crossBetween val="between"/>
      </c:valAx>
    </c:plotArea>
    <c:legend>
      <c:legendPos val="r"/>
      <c:overlay val="0"/>
      <c:txPr>
        <a:bodyPr/>
        <a:lstStyle/>
        <a:p>
          <a:pPr lvl="0" rt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11 de julio de 2022. 
Periodo que reporta: Junio 2022.&amp;DAprobado por:    
Ing. Pablo Contreras Vásquez</c:oddHeader>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0"/>
          <c:order val="0"/>
          <c:tx>
            <c:v>Línea Base</c:v>
          </c:tx>
          <c:spPr>
            <a:ln w="28575" cmpd="sng">
              <a:solidFill>
                <a:schemeClr val="accent6"/>
              </a:solidFill>
              <a:prstDash val="dash"/>
            </a:ln>
          </c:spPr>
          <c:marker>
            <c:symbol val="none"/>
          </c:marker>
          <c:cat>
            <c:strRef>
              <c:f>'8. Seráfico'!$BF$6:$BF$8</c:f>
              <c:strCache>
                <c:ptCount val="3"/>
                <c:pt idx="0">
                  <c:v>abril-23</c:v>
                </c:pt>
                <c:pt idx="1">
                  <c:v>may-23</c:v>
                </c:pt>
                <c:pt idx="2">
                  <c:v>jun-23</c:v>
                </c:pt>
              </c:strCache>
            </c:strRef>
          </c:cat>
          <c:val>
            <c:numRef>
              <c:f>'8. Seráfico'!$BG$6:$BG$8</c:f>
              <c:numCache>
                <c:formatCode>"₡"#\ ##0.00</c:formatCode>
                <c:ptCount val="3"/>
                <c:pt idx="0">
                  <c:v>15.4</c:v>
                </c:pt>
                <c:pt idx="1">
                  <c:v>152.1</c:v>
                </c:pt>
                <c:pt idx="2">
                  <c:v>355.4</c:v>
                </c:pt>
              </c:numCache>
            </c:numRef>
          </c:val>
          <c:smooth val="0"/>
          <c:extLst>
            <c:ext xmlns:c16="http://schemas.microsoft.com/office/drawing/2014/chart" uri="{C3380CC4-5D6E-409C-BE32-E72D297353CC}">
              <c16:uniqueId val="{00000000-17C7-4A8E-BF0B-BA262D5FEB98}"/>
            </c:ext>
          </c:extLst>
        </c:ser>
        <c:ser>
          <c:idx val="1"/>
          <c:order val="1"/>
          <c:tx>
            <c:v>Financiero Ejecutado</c:v>
          </c:tx>
          <c:spPr>
            <a:ln w="28575" cmpd="sng">
              <a:solidFill>
                <a:srgbClr val="0070C0">
                  <a:alpha val="100000"/>
                </a:srgbClr>
              </a:solidFill>
            </a:ln>
          </c:spPr>
          <c:marker>
            <c:symbol val="none"/>
          </c:marker>
          <c:cat>
            <c:strRef>
              <c:f>'8. Seráfico'!$BF$6:$BF$8</c:f>
              <c:strCache>
                <c:ptCount val="3"/>
                <c:pt idx="0">
                  <c:v>abril-23</c:v>
                </c:pt>
                <c:pt idx="1">
                  <c:v>may-23</c:v>
                </c:pt>
                <c:pt idx="2">
                  <c:v>jun-23</c:v>
                </c:pt>
              </c:strCache>
            </c:strRef>
          </c:cat>
          <c:val>
            <c:numRef>
              <c:f>'8. Seráfico'!$BI$6:$BI$7</c:f>
              <c:numCache>
                <c:formatCode>"₡"#\ ##0.00</c:formatCode>
                <c:ptCount val="2"/>
                <c:pt idx="0">
                  <c:v>0</c:v>
                </c:pt>
                <c:pt idx="1">
                  <c:v>0</c:v>
                </c:pt>
              </c:numCache>
            </c:numRef>
          </c:val>
          <c:smooth val="0"/>
          <c:extLst>
            <c:ext xmlns:c16="http://schemas.microsoft.com/office/drawing/2014/chart" uri="{C3380CC4-5D6E-409C-BE32-E72D297353CC}">
              <c16:uniqueId val="{00000001-17C7-4A8E-BF0B-BA262D5FEB98}"/>
            </c:ext>
          </c:extLst>
        </c:ser>
        <c:ser>
          <c:idx val="2"/>
          <c:order val="2"/>
          <c:tx>
            <c:v>Físico Ejecutado</c:v>
          </c:tx>
          <c:spPr>
            <a:ln w="28575" cmpd="sng">
              <a:solidFill>
                <a:schemeClr val="accent4"/>
              </a:solidFill>
              <a:prstDash val="sysDot"/>
            </a:ln>
          </c:spPr>
          <c:marker>
            <c:symbol val="none"/>
          </c:marker>
          <c:cat>
            <c:strRef>
              <c:f>'8. Seráfico'!$BF$6:$BF$8</c:f>
              <c:strCache>
                <c:ptCount val="3"/>
                <c:pt idx="0">
                  <c:v>abril-23</c:v>
                </c:pt>
                <c:pt idx="1">
                  <c:v>may-23</c:v>
                </c:pt>
                <c:pt idx="2">
                  <c:v>jun-23</c:v>
                </c:pt>
              </c:strCache>
            </c:strRef>
          </c:cat>
          <c:val>
            <c:numRef>
              <c:f>'8. Seráfico'!$BJ$6:$BJ$8</c:f>
              <c:numCache>
                <c:formatCode>"₡"#\ ##0.00</c:formatCode>
                <c:ptCount val="3"/>
                <c:pt idx="0">
                  <c:v>0</c:v>
                </c:pt>
                <c:pt idx="1">
                  <c:v>0</c:v>
                </c:pt>
                <c:pt idx="2">
                  <c:v>0</c:v>
                </c:pt>
              </c:numCache>
            </c:numRef>
          </c:val>
          <c:smooth val="0"/>
          <c:extLst>
            <c:ext xmlns:c16="http://schemas.microsoft.com/office/drawing/2014/chart" uri="{C3380CC4-5D6E-409C-BE32-E72D297353CC}">
              <c16:uniqueId val="{00000002-17C7-4A8E-BF0B-BA262D5FEB98}"/>
            </c:ext>
          </c:extLst>
        </c:ser>
        <c:dLbls>
          <c:showLegendKey val="0"/>
          <c:showVal val="0"/>
          <c:showCatName val="0"/>
          <c:showSerName val="0"/>
          <c:showPercent val="0"/>
          <c:showBubbleSize val="0"/>
        </c:dLbls>
        <c:smooth val="0"/>
        <c:axId val="2031904060"/>
        <c:axId val="756858020"/>
      </c:lineChart>
      <c:catAx>
        <c:axId val="2031904060"/>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Arial Narrow"/>
              </a:defRPr>
            </a:pPr>
            <a:endParaRPr lang="es-CR"/>
          </a:p>
        </c:txPr>
        <c:crossAx val="756858020"/>
        <c:crosses val="autoZero"/>
        <c:auto val="1"/>
        <c:lblAlgn val="ctr"/>
        <c:lblOffset val="100"/>
        <c:noMultiLvlLbl val="0"/>
      </c:catAx>
      <c:valAx>
        <c:axId val="756858020"/>
        <c:scaling>
          <c:orientation val="minMax"/>
          <c:min val="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Arial Narrow"/>
              </a:defRPr>
            </a:pPr>
            <a:endParaRPr lang="es-CR"/>
          </a:p>
        </c:txPr>
        <c:crossAx val="2031904060"/>
        <c:crosses val="autoZero"/>
        <c:crossBetween val="between"/>
      </c:valAx>
    </c:plotArea>
    <c:plotVisOnly val="1"/>
    <c:dispBlanksAs val="zero"/>
    <c:showDLblsOverMax val="1"/>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585519081734198E-2"/>
          <c:y val="0.11193420129414516"/>
          <c:w val="0.90829277676986131"/>
          <c:h val="0.68164543068480077"/>
        </c:manualLayout>
      </c:layout>
      <c:lineChart>
        <c:grouping val="standard"/>
        <c:varyColors val="1"/>
        <c:ser>
          <c:idx val="0"/>
          <c:order val="0"/>
          <c:tx>
            <c:v>Financiero Ejecutado (mills)</c:v>
          </c:tx>
          <c:spPr>
            <a:ln w="28575" cmpd="sng">
              <a:solidFill>
                <a:schemeClr val="accent6"/>
              </a:solidFill>
              <a:prstDash val="dash"/>
            </a:ln>
          </c:spPr>
          <c:marker>
            <c:symbol val="circle"/>
            <c:size val="6"/>
            <c:spPr>
              <a:solidFill>
                <a:schemeClr val="accent6"/>
              </a:solidFill>
              <a:ln cmpd="sng">
                <a:solidFill>
                  <a:schemeClr val="accent6"/>
                </a:solidFill>
              </a:ln>
            </c:spPr>
          </c:marker>
          <c:cat>
            <c:numRef>
              <c:f>'24. La Galera'!$AN$6:$AN$43</c:f>
              <c:numCache>
                <c:formatCode>mmm\-yy</c:formatCode>
                <c:ptCount val="38"/>
                <c:pt idx="0">
                  <c:v>44958</c:v>
                </c:pt>
                <c:pt idx="1">
                  <c:v>44986</c:v>
                </c:pt>
                <c:pt idx="2">
                  <c:v>45017</c:v>
                </c:pt>
                <c:pt idx="3">
                  <c:v>45047</c:v>
                </c:pt>
                <c:pt idx="4">
                  <c:v>45078</c:v>
                </c:pt>
                <c:pt idx="5">
                  <c:v>45108</c:v>
                </c:pt>
                <c:pt idx="6">
                  <c:v>45139</c:v>
                </c:pt>
              </c:numCache>
            </c:numRef>
          </c:cat>
          <c:val>
            <c:numRef>
              <c:f>'24. La Galera'!$AQ$6:$AQ$12</c:f>
              <c:numCache>
                <c:formatCode>"₡"#\ ##0.00</c:formatCode>
                <c:ptCount val="7"/>
                <c:pt idx="0">
                  <c:v>0</c:v>
                </c:pt>
                <c:pt idx="1">
                  <c:v>0</c:v>
                </c:pt>
                <c:pt idx="2">
                  <c:v>0</c:v>
                </c:pt>
                <c:pt idx="3">
                  <c:v>233</c:v>
                </c:pt>
                <c:pt idx="4">
                  <c:v>233</c:v>
                </c:pt>
                <c:pt idx="5">
                  <c:v>233</c:v>
                </c:pt>
                <c:pt idx="6">
                  <c:v>233</c:v>
                </c:pt>
              </c:numCache>
            </c:numRef>
          </c:val>
          <c:smooth val="1"/>
          <c:extLst>
            <c:ext xmlns:c16="http://schemas.microsoft.com/office/drawing/2014/chart" uri="{C3380CC4-5D6E-409C-BE32-E72D297353CC}">
              <c16:uniqueId val="{00000000-A391-46B0-B1F5-F243ADB1FB47}"/>
            </c:ext>
          </c:extLst>
        </c:ser>
        <c:ser>
          <c:idx val="1"/>
          <c:order val="1"/>
          <c:tx>
            <c:v>Línea base </c:v>
          </c:tx>
          <c:spPr>
            <a:ln w="28575" cmpd="sng">
              <a:solidFill>
                <a:srgbClr val="0070C0">
                  <a:alpha val="100000"/>
                </a:srgbClr>
              </a:solidFill>
            </a:ln>
          </c:spPr>
          <c:marker>
            <c:symbol val="circle"/>
            <c:size val="5"/>
            <c:spPr>
              <a:solidFill>
                <a:srgbClr val="0070C0">
                  <a:alpha val="100000"/>
                </a:srgbClr>
              </a:solidFill>
              <a:ln cmpd="sng">
                <a:solidFill>
                  <a:srgbClr val="0070C0">
                    <a:alpha val="100000"/>
                  </a:srgbClr>
                </a:solidFill>
              </a:ln>
            </c:spPr>
          </c:marker>
          <c:cat>
            <c:numRef>
              <c:f>'24. La Galera'!$AN$6:$AN$43</c:f>
              <c:numCache>
                <c:formatCode>mmm\-yy</c:formatCode>
                <c:ptCount val="38"/>
                <c:pt idx="0">
                  <c:v>44958</c:v>
                </c:pt>
                <c:pt idx="1">
                  <c:v>44986</c:v>
                </c:pt>
                <c:pt idx="2">
                  <c:v>45017</c:v>
                </c:pt>
                <c:pt idx="3">
                  <c:v>45047</c:v>
                </c:pt>
                <c:pt idx="4">
                  <c:v>45078</c:v>
                </c:pt>
                <c:pt idx="5">
                  <c:v>45108</c:v>
                </c:pt>
                <c:pt idx="6">
                  <c:v>45139</c:v>
                </c:pt>
              </c:numCache>
            </c:numRef>
          </c:cat>
          <c:val>
            <c:numRef>
              <c:f>'24. La Galera'!$AO$6:$AO$12</c:f>
              <c:numCache>
                <c:formatCode>"₡"#\ ##0.00</c:formatCode>
                <c:ptCount val="7"/>
                <c:pt idx="0">
                  <c:v>0</c:v>
                </c:pt>
                <c:pt idx="1">
                  <c:v>98.888750001414451</c:v>
                </c:pt>
                <c:pt idx="2">
                  <c:v>355.99950000509205</c:v>
                </c:pt>
                <c:pt idx="3">
                  <c:v>741.66562501060844</c:v>
                </c:pt>
                <c:pt idx="4">
                  <c:v>1398.8407020200084</c:v>
                </c:pt>
                <c:pt idx="5">
                  <c:v>1858.8632559265884</c:v>
                </c:pt>
                <c:pt idx="6">
                  <c:v>1907.6256466406858</c:v>
                </c:pt>
              </c:numCache>
            </c:numRef>
          </c:val>
          <c:smooth val="1"/>
          <c:extLst>
            <c:ext xmlns:c16="http://schemas.microsoft.com/office/drawing/2014/chart" uri="{C3380CC4-5D6E-409C-BE32-E72D297353CC}">
              <c16:uniqueId val="{00000001-A391-46B0-B1F5-F243ADB1FB47}"/>
            </c:ext>
          </c:extLst>
        </c:ser>
        <c:ser>
          <c:idx val="2"/>
          <c:order val="2"/>
          <c:tx>
            <c:v>Físico Ejecutado (mills)</c:v>
          </c:tx>
          <c:spPr>
            <a:ln w="28575" cmpd="sng">
              <a:solidFill>
                <a:schemeClr val="accent4"/>
              </a:solidFill>
              <a:prstDash val="sysDot"/>
            </a:ln>
          </c:spPr>
          <c:marker>
            <c:symbol val="circle"/>
            <c:size val="5"/>
            <c:spPr>
              <a:solidFill>
                <a:schemeClr val="accent4"/>
              </a:solidFill>
              <a:ln cmpd="sng">
                <a:solidFill>
                  <a:schemeClr val="accent4"/>
                </a:solidFill>
              </a:ln>
            </c:spPr>
          </c:marker>
          <c:cat>
            <c:numRef>
              <c:f>'24. La Galera'!$AN$6:$AN$43</c:f>
              <c:numCache>
                <c:formatCode>mmm\-yy</c:formatCode>
                <c:ptCount val="38"/>
                <c:pt idx="0">
                  <c:v>44958</c:v>
                </c:pt>
                <c:pt idx="1">
                  <c:v>44986</c:v>
                </c:pt>
                <c:pt idx="2">
                  <c:v>45017</c:v>
                </c:pt>
                <c:pt idx="3">
                  <c:v>45047</c:v>
                </c:pt>
                <c:pt idx="4">
                  <c:v>45078</c:v>
                </c:pt>
                <c:pt idx="5">
                  <c:v>45108</c:v>
                </c:pt>
                <c:pt idx="6">
                  <c:v>45139</c:v>
                </c:pt>
              </c:numCache>
            </c:numRef>
          </c:cat>
          <c:val>
            <c:numRef>
              <c:f>'24. La Galera'!$AR$6:$AR$12</c:f>
              <c:numCache>
                <c:formatCode>"₡"#\ ##0.00</c:formatCode>
                <c:ptCount val="7"/>
                <c:pt idx="0">
                  <c:v>0</c:v>
                </c:pt>
                <c:pt idx="1">
                  <c:v>0</c:v>
                </c:pt>
                <c:pt idx="2">
                  <c:v>0</c:v>
                </c:pt>
                <c:pt idx="3">
                  <c:v>233</c:v>
                </c:pt>
                <c:pt idx="4">
                  <c:v>233</c:v>
                </c:pt>
                <c:pt idx="5">
                  <c:v>233</c:v>
                </c:pt>
                <c:pt idx="6">
                  <c:v>233</c:v>
                </c:pt>
              </c:numCache>
            </c:numRef>
          </c:val>
          <c:smooth val="1"/>
          <c:extLst>
            <c:ext xmlns:c16="http://schemas.microsoft.com/office/drawing/2014/chart" uri="{C3380CC4-5D6E-409C-BE32-E72D297353CC}">
              <c16:uniqueId val="{00000002-A391-46B0-B1F5-F243ADB1FB47}"/>
            </c:ext>
          </c:extLst>
        </c:ser>
        <c:dLbls>
          <c:showLegendKey val="0"/>
          <c:showVal val="0"/>
          <c:showCatName val="0"/>
          <c:showSerName val="0"/>
          <c:showPercent val="0"/>
          <c:showBubbleSize val="0"/>
        </c:dLbls>
        <c:marker val="1"/>
        <c:smooth val="0"/>
        <c:axId val="1555497528"/>
        <c:axId val="1979370746"/>
      </c:lineChart>
      <c:dateAx>
        <c:axId val="1555497528"/>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mn-lt"/>
              </a:defRPr>
            </a:pPr>
            <a:endParaRPr lang="es-CR"/>
          </a:p>
        </c:txPr>
        <c:crossAx val="1979370746"/>
        <c:crosses val="autoZero"/>
        <c:auto val="1"/>
        <c:lblOffset val="100"/>
        <c:baseTimeUnit val="months"/>
      </c:dateAx>
      <c:valAx>
        <c:axId val="1979370746"/>
        <c:scaling>
          <c:orientation val="minMax"/>
          <c:min val="0"/>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mn-lt"/>
              </a:defRPr>
            </a:pPr>
            <a:endParaRPr lang="es-CR"/>
          </a:p>
        </c:txPr>
        <c:crossAx val="1555497528"/>
        <c:crosses val="autoZero"/>
        <c:crossBetween val="between"/>
      </c:valAx>
    </c:plotArea>
    <c:legend>
      <c:legendPos val="b"/>
      <c:overlay val="0"/>
      <c:txPr>
        <a:bodyPr/>
        <a:lstStyle/>
        <a:p>
          <a:pPr lvl="0">
            <a:defRPr sz="900" b="0" i="0">
              <a:solidFill>
                <a:srgbClr val="1A1A1A"/>
              </a:solidFill>
              <a:latin typeface="+mn-lt"/>
            </a:defRPr>
          </a:pPr>
          <a:endParaRPr lang="es-CR"/>
        </a:p>
      </c:txPr>
    </c:legend>
    <c:plotVisOnly val="1"/>
    <c:dispBlanksAs val="zero"/>
    <c:showDLblsOverMax val="1"/>
  </c:chart>
  <c:spPr>
    <a:ln>
      <a:noFill/>
    </a:ln>
  </c:spPr>
  <c:printSettings>
    <c:headerFooter>
      <c:oddHeader>&amp;ZUnidad Ejecutora
Gerencia de Construcción de Vías y Puentes.     
&amp;CFecha informe: 11 de julio de 2022. 
Periodo que reporta: Junio 2022.&amp;DAprobado por:    Ing. Pablo Contreras Vásquez</c:oddHeader>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24732224935214E-2"/>
          <c:y val="7.4957450781338864E-2"/>
          <c:w val="0.67026230517414231"/>
          <c:h val="0.68743869800464019"/>
        </c:manualLayout>
      </c:layout>
      <c:lineChart>
        <c:grouping val="standard"/>
        <c:varyColors val="1"/>
        <c:ser>
          <c:idx val="0"/>
          <c:order val="0"/>
          <c:tx>
            <c:strRef>
              <c:f>'24. La Galera'!$BA$5</c:f>
              <c:strCache>
                <c:ptCount val="1"/>
                <c:pt idx="0">
                  <c:v>SPI</c:v>
                </c:pt>
              </c:strCache>
            </c:strRef>
          </c:tx>
          <c:spPr>
            <a:ln w="28575" cmpd="sng">
              <a:solidFill>
                <a:schemeClr val="accent1"/>
              </a:solidFill>
            </a:ln>
          </c:spPr>
          <c:marker>
            <c:symbol val="none"/>
          </c:marker>
          <c:cat>
            <c:strRef>
              <c:f>'24. La Galera'!$AZ$6:$AZ$11</c:f>
              <c:strCache>
                <c:ptCount val="6"/>
                <c:pt idx="0">
                  <c:v>dic-22</c:v>
                </c:pt>
                <c:pt idx="1">
                  <c:v>ene-23</c:v>
                </c:pt>
                <c:pt idx="2">
                  <c:v>feb-23</c:v>
                </c:pt>
                <c:pt idx="3">
                  <c:v>marz-23</c:v>
                </c:pt>
                <c:pt idx="4">
                  <c:v>abrl-23</c:v>
                </c:pt>
                <c:pt idx="5">
                  <c:v>mayo-23</c:v>
                </c:pt>
              </c:strCache>
            </c:strRef>
          </c:cat>
          <c:val>
            <c:numRef>
              <c:f>'24. La Galera'!$BA$6:$BA$12</c:f>
              <c:numCache>
                <c:formatCode>#,##0.00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0-69CD-4389-ACD6-BEE8573635AA}"/>
            </c:ext>
          </c:extLst>
        </c:ser>
        <c:ser>
          <c:idx val="1"/>
          <c:order val="1"/>
          <c:tx>
            <c:strRef>
              <c:f>'24. La Galera'!$BB$5</c:f>
              <c:strCache>
                <c:ptCount val="1"/>
                <c:pt idx="0">
                  <c:v>CPI</c:v>
                </c:pt>
              </c:strCache>
            </c:strRef>
          </c:tx>
          <c:marker>
            <c:symbol val="none"/>
          </c:marker>
          <c:cat>
            <c:strRef>
              <c:f>'24. La Galera'!$AZ$6:$AZ$11</c:f>
              <c:strCache>
                <c:ptCount val="6"/>
                <c:pt idx="0">
                  <c:v>dic-22</c:v>
                </c:pt>
                <c:pt idx="1">
                  <c:v>ene-23</c:v>
                </c:pt>
                <c:pt idx="2">
                  <c:v>feb-23</c:v>
                </c:pt>
                <c:pt idx="3">
                  <c:v>marz-23</c:v>
                </c:pt>
                <c:pt idx="4">
                  <c:v>abrl-23</c:v>
                </c:pt>
                <c:pt idx="5">
                  <c:v>mayo-23</c:v>
                </c:pt>
              </c:strCache>
            </c:strRef>
          </c:cat>
          <c:val>
            <c:numRef>
              <c:f>'24. La Galera'!$BB$6:$BB$12</c:f>
              <c:numCache>
                <c:formatCode>#,##0.00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1-69CD-4389-ACD6-BEE8573635AA}"/>
            </c:ext>
          </c:extLst>
        </c:ser>
        <c:ser>
          <c:idx val="2"/>
          <c:order val="2"/>
          <c:tx>
            <c:strRef>
              <c:f>'24. La Galera'!$BC$5</c:f>
              <c:strCache>
                <c:ptCount val="1"/>
                <c:pt idx="0">
                  <c:v>TCPI</c:v>
                </c:pt>
              </c:strCache>
            </c:strRef>
          </c:tx>
          <c:marker>
            <c:symbol val="none"/>
          </c:marker>
          <c:cat>
            <c:strRef>
              <c:f>'24. La Galera'!$AZ$6:$AZ$11</c:f>
              <c:strCache>
                <c:ptCount val="6"/>
                <c:pt idx="0">
                  <c:v>dic-22</c:v>
                </c:pt>
                <c:pt idx="1">
                  <c:v>ene-23</c:v>
                </c:pt>
                <c:pt idx="2">
                  <c:v>feb-23</c:v>
                </c:pt>
                <c:pt idx="3">
                  <c:v>marz-23</c:v>
                </c:pt>
                <c:pt idx="4">
                  <c:v>abrl-23</c:v>
                </c:pt>
                <c:pt idx="5">
                  <c:v>mayo-23</c:v>
                </c:pt>
              </c:strCache>
            </c:strRef>
          </c:cat>
          <c:val>
            <c:numRef>
              <c:f>'24. La Galera'!$BC$6:$BC$12</c:f>
              <c:numCache>
                <c:formatCode>#,##0.00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2-69CD-4389-ACD6-BEE8573635AA}"/>
            </c:ext>
          </c:extLst>
        </c:ser>
        <c:dLbls>
          <c:showLegendKey val="0"/>
          <c:showVal val="0"/>
          <c:showCatName val="0"/>
          <c:showSerName val="0"/>
          <c:showPercent val="0"/>
          <c:showBubbleSize val="0"/>
        </c:dLbls>
        <c:smooth val="0"/>
        <c:axId val="1347311342"/>
        <c:axId val="1224184864"/>
      </c:lineChart>
      <c:catAx>
        <c:axId val="1347311342"/>
        <c:scaling>
          <c:orientation val="minMax"/>
        </c:scaling>
        <c:delete val="0"/>
        <c:axPos val="b"/>
        <c:title>
          <c:tx>
            <c:rich>
              <a:bodyPr/>
              <a:lstStyle/>
              <a:p>
                <a:pPr lvl="0">
                  <a:defRPr b="0">
                    <a:solidFill>
                      <a:srgbClr val="000000"/>
                    </a:solidFill>
                    <a:latin typeface="+mn-lt"/>
                  </a:defRPr>
                </a:pPr>
                <a:endParaRPr lang="es-C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R"/>
          </a:p>
        </c:txPr>
        <c:crossAx val="1224184864"/>
        <c:crosses val="autoZero"/>
        <c:auto val="1"/>
        <c:lblAlgn val="ctr"/>
        <c:lblOffset val="100"/>
        <c:noMultiLvlLbl val="1"/>
      </c:catAx>
      <c:valAx>
        <c:axId val="12241848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R"/>
              </a:p>
            </c:rich>
          </c:tx>
          <c:overlay val="0"/>
        </c:title>
        <c:numFmt formatCode="#,##0.0" sourceLinked="0"/>
        <c:majorTickMark val="none"/>
        <c:minorTickMark val="none"/>
        <c:tickLblPos val="nextTo"/>
        <c:spPr>
          <a:ln/>
        </c:spPr>
        <c:txPr>
          <a:bodyPr/>
          <a:lstStyle/>
          <a:p>
            <a:pPr lvl="0">
              <a:defRPr sz="900" b="0" i="0">
                <a:solidFill>
                  <a:srgbClr val="000000"/>
                </a:solidFill>
                <a:latin typeface="+mn-lt"/>
              </a:defRPr>
            </a:pPr>
            <a:endParaRPr lang="es-CR"/>
          </a:p>
        </c:txPr>
        <c:crossAx val="1347311342"/>
        <c:crosses val="autoZero"/>
        <c:crossBetween val="between"/>
      </c:valAx>
    </c:plotArea>
    <c:legend>
      <c:legendPos val="r"/>
      <c:overlay val="0"/>
      <c:txPr>
        <a:bodyPr/>
        <a:lstStyle/>
        <a:p>
          <a:pPr lvl="0" rtl="0">
            <a:defRPr sz="900" b="0" i="0">
              <a:solidFill>
                <a:srgbClr val="1A1A1A"/>
              </a:solidFill>
              <a:latin typeface="+mn-lt"/>
            </a:defRPr>
          </a:pPr>
          <a:endParaRPr lang="es-CR"/>
        </a:p>
      </c:txPr>
    </c:legend>
    <c:plotVisOnly val="1"/>
    <c:dispBlanksAs val="zero"/>
    <c:showDLblsOverMax val="1"/>
  </c:chart>
  <c:spPr>
    <a:ln>
      <a:noFill/>
    </a:ln>
  </c:spPr>
  <c:printSettings>
    <c:headerFooter>
      <c:oddHeader>&amp;ZGerencia de Construcción de Vías y Puentes. 
Unidad Ejecutora&amp;CFecha informe: 11 de julio de 2022. 
Periodo que reporta: Junio 2022.&amp;DAprobado por:    
Ing. Pablo Contreras Vásquez</c:oddHeader>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0"/>
          <c:order val="0"/>
          <c:tx>
            <c:v>Línea Base</c:v>
          </c:tx>
          <c:spPr>
            <a:ln w="28575" cmpd="sng">
              <a:solidFill>
                <a:schemeClr val="accent6"/>
              </a:solidFill>
              <a:prstDash val="dash"/>
            </a:ln>
          </c:spPr>
          <c:marker>
            <c:symbol val="none"/>
          </c:marker>
          <c:cat>
            <c:numRef>
              <c:f>'24. La Galera'!$BF$6:$BF$8</c:f>
              <c:numCache>
                <c:formatCode>mmm\-yy</c:formatCode>
                <c:ptCount val="3"/>
                <c:pt idx="0">
                  <c:v>44986</c:v>
                </c:pt>
                <c:pt idx="1">
                  <c:v>45017</c:v>
                </c:pt>
                <c:pt idx="2">
                  <c:v>45047</c:v>
                </c:pt>
              </c:numCache>
            </c:numRef>
          </c:cat>
          <c:val>
            <c:numRef>
              <c:f>'24. La Galera'!$BG$6:$BG$8</c:f>
              <c:numCache>
                <c:formatCode>"₡"#\ ##0.00</c:formatCode>
                <c:ptCount val="3"/>
                <c:pt idx="0">
                  <c:v>98.888750001414451</c:v>
                </c:pt>
                <c:pt idx="1">
                  <c:v>355.99950000509205</c:v>
                </c:pt>
                <c:pt idx="2">
                  <c:v>741.66562501060844</c:v>
                </c:pt>
              </c:numCache>
            </c:numRef>
          </c:val>
          <c:smooth val="0"/>
          <c:extLst>
            <c:ext xmlns:c16="http://schemas.microsoft.com/office/drawing/2014/chart" uri="{C3380CC4-5D6E-409C-BE32-E72D297353CC}">
              <c16:uniqueId val="{00000000-6B9D-46CC-B90C-AD213108296D}"/>
            </c:ext>
          </c:extLst>
        </c:ser>
        <c:ser>
          <c:idx val="1"/>
          <c:order val="1"/>
          <c:tx>
            <c:v>Financiero Ejecutado</c:v>
          </c:tx>
          <c:spPr>
            <a:ln w="28575" cmpd="sng">
              <a:solidFill>
                <a:srgbClr val="0070C0">
                  <a:alpha val="100000"/>
                </a:srgbClr>
              </a:solidFill>
            </a:ln>
          </c:spPr>
          <c:marker>
            <c:symbol val="none"/>
          </c:marker>
          <c:cat>
            <c:numRef>
              <c:f>'24. La Galera'!$BF$6:$BF$8</c:f>
              <c:numCache>
                <c:formatCode>mmm\-yy</c:formatCode>
                <c:ptCount val="3"/>
                <c:pt idx="0">
                  <c:v>44986</c:v>
                </c:pt>
                <c:pt idx="1">
                  <c:v>45017</c:v>
                </c:pt>
                <c:pt idx="2">
                  <c:v>45047</c:v>
                </c:pt>
              </c:numCache>
            </c:numRef>
          </c:cat>
          <c:val>
            <c:numRef>
              <c:f>'24. La Galera'!$BI$6:$BI$7</c:f>
              <c:numCache>
                <c:formatCode>"₡"#\ ##0.00</c:formatCode>
                <c:ptCount val="2"/>
                <c:pt idx="0">
                  <c:v>0</c:v>
                </c:pt>
                <c:pt idx="1">
                  <c:v>0</c:v>
                </c:pt>
              </c:numCache>
            </c:numRef>
          </c:val>
          <c:smooth val="0"/>
          <c:extLst>
            <c:ext xmlns:c16="http://schemas.microsoft.com/office/drawing/2014/chart" uri="{C3380CC4-5D6E-409C-BE32-E72D297353CC}">
              <c16:uniqueId val="{00000001-6B9D-46CC-B90C-AD213108296D}"/>
            </c:ext>
          </c:extLst>
        </c:ser>
        <c:ser>
          <c:idx val="2"/>
          <c:order val="2"/>
          <c:tx>
            <c:v>Físico Ejecutado</c:v>
          </c:tx>
          <c:spPr>
            <a:ln w="28575" cmpd="sng">
              <a:solidFill>
                <a:schemeClr val="accent4"/>
              </a:solidFill>
              <a:prstDash val="sysDot"/>
            </a:ln>
          </c:spPr>
          <c:marker>
            <c:symbol val="none"/>
          </c:marker>
          <c:cat>
            <c:numRef>
              <c:f>'24. La Galera'!$BF$6:$BF$8</c:f>
              <c:numCache>
                <c:formatCode>mmm\-yy</c:formatCode>
                <c:ptCount val="3"/>
                <c:pt idx="0">
                  <c:v>44986</c:v>
                </c:pt>
                <c:pt idx="1">
                  <c:v>45017</c:v>
                </c:pt>
                <c:pt idx="2">
                  <c:v>45047</c:v>
                </c:pt>
              </c:numCache>
            </c:numRef>
          </c:cat>
          <c:val>
            <c:numRef>
              <c:f>'24. La Galera'!$BJ$6:$BJ$8</c:f>
              <c:numCache>
                <c:formatCode>"₡"#\ ##0.00</c:formatCode>
                <c:ptCount val="3"/>
                <c:pt idx="0">
                  <c:v>0</c:v>
                </c:pt>
                <c:pt idx="1">
                  <c:v>0</c:v>
                </c:pt>
                <c:pt idx="2">
                  <c:v>233</c:v>
                </c:pt>
              </c:numCache>
            </c:numRef>
          </c:val>
          <c:smooth val="0"/>
          <c:extLst>
            <c:ext xmlns:c16="http://schemas.microsoft.com/office/drawing/2014/chart" uri="{C3380CC4-5D6E-409C-BE32-E72D297353CC}">
              <c16:uniqueId val="{00000002-6B9D-46CC-B90C-AD213108296D}"/>
            </c:ext>
          </c:extLst>
        </c:ser>
        <c:dLbls>
          <c:showLegendKey val="0"/>
          <c:showVal val="0"/>
          <c:showCatName val="0"/>
          <c:showSerName val="0"/>
          <c:showPercent val="0"/>
          <c:showBubbleSize val="0"/>
        </c:dLbls>
        <c:smooth val="0"/>
        <c:axId val="2031904060"/>
        <c:axId val="756858020"/>
      </c:lineChart>
      <c:dateAx>
        <c:axId val="2031904060"/>
        <c:scaling>
          <c:orientation val="minMax"/>
        </c:scaling>
        <c:delete val="0"/>
        <c:axPos val="b"/>
        <c:title>
          <c:tx>
            <c:rich>
              <a:bodyPr/>
              <a:lstStyle/>
              <a:p>
                <a:pPr lvl="0">
                  <a:defRPr b="0">
                    <a:solidFill>
                      <a:srgbClr val="000000"/>
                    </a:solidFill>
                    <a:latin typeface="+mn-lt"/>
                  </a:defRPr>
                </a:pPr>
                <a:endParaRPr lang="es-CR"/>
              </a:p>
            </c:rich>
          </c:tx>
          <c:overlay val="0"/>
        </c:title>
        <c:numFmt formatCode="mmm\-yy" sourceLinked="1"/>
        <c:majorTickMark val="none"/>
        <c:minorTickMark val="none"/>
        <c:tickLblPos val="nextTo"/>
        <c:txPr>
          <a:bodyPr/>
          <a:lstStyle/>
          <a:p>
            <a:pPr lvl="0">
              <a:defRPr sz="900" b="0" i="0">
                <a:solidFill>
                  <a:srgbClr val="000000"/>
                </a:solidFill>
                <a:latin typeface="Arial Narrow"/>
              </a:defRPr>
            </a:pPr>
            <a:endParaRPr lang="es-CR"/>
          </a:p>
        </c:txPr>
        <c:crossAx val="756858020"/>
        <c:crosses val="autoZero"/>
        <c:auto val="1"/>
        <c:lblOffset val="100"/>
        <c:baseTimeUnit val="months"/>
      </c:dateAx>
      <c:valAx>
        <c:axId val="756858020"/>
        <c:scaling>
          <c:orientation val="minMax"/>
          <c:min val="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R"/>
              </a:p>
            </c:rich>
          </c:tx>
          <c:overlay val="0"/>
        </c:title>
        <c:numFmt formatCode="_-[$₡-140A]* #,##0_-;\-[$₡-140A]* #,##0_-;_-[$₡-140A]* &quot;-&quot;_-;_-@_-" sourceLinked="0"/>
        <c:majorTickMark val="none"/>
        <c:minorTickMark val="none"/>
        <c:tickLblPos val="nextTo"/>
        <c:spPr>
          <a:ln/>
        </c:spPr>
        <c:txPr>
          <a:bodyPr/>
          <a:lstStyle/>
          <a:p>
            <a:pPr lvl="0">
              <a:defRPr sz="900" b="0" i="0">
                <a:solidFill>
                  <a:srgbClr val="000000"/>
                </a:solidFill>
                <a:latin typeface="Arial Narrow"/>
              </a:defRPr>
            </a:pPr>
            <a:endParaRPr lang="es-CR"/>
          </a:p>
        </c:txPr>
        <c:crossAx val="2031904060"/>
        <c:crosses val="autoZero"/>
        <c:crossBetween val="between"/>
      </c:valAx>
    </c:plotArea>
    <c:plotVisOnly val="1"/>
    <c:dispBlanksAs val="zero"/>
    <c:showDLblsOverMax val="1"/>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11</xdr:col>
      <xdr:colOff>114300</xdr:colOff>
      <xdr:row>6</xdr:row>
      <xdr:rowOff>171449</xdr:rowOff>
    </xdr:from>
    <xdr:ext cx="6819899" cy="3667125"/>
    <xdr:graphicFrame macro="">
      <xdr:nvGraphicFramePr>
        <xdr:cNvPr id="1484050727" name="Chart 4" title="Gráfico">
          <a:extLst>
            <a:ext uri="{FF2B5EF4-FFF2-40B4-BE49-F238E27FC236}">
              <a16:creationId xmlns:a16="http://schemas.microsoft.com/office/drawing/2014/main" id="{00000000-0008-0000-0200-000027D174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23</xdr:col>
      <xdr:colOff>87313</xdr:colOff>
      <xdr:row>27</xdr:row>
      <xdr:rowOff>31751</xdr:rowOff>
    </xdr:from>
    <xdr:ext cx="3846512" cy="1863724"/>
    <xdr:graphicFrame macro="">
      <xdr:nvGraphicFramePr>
        <xdr:cNvPr id="1012464463" name="Chart 5">
          <a:extLst>
            <a:ext uri="{FF2B5EF4-FFF2-40B4-BE49-F238E27FC236}">
              <a16:creationId xmlns:a16="http://schemas.microsoft.com/office/drawing/2014/main" id="{00000000-0008-0000-0200-00004FFB58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19</xdr:col>
      <xdr:colOff>190498</xdr:colOff>
      <xdr:row>11</xdr:row>
      <xdr:rowOff>76198</xdr:rowOff>
    </xdr:from>
    <xdr:ext cx="2638427" cy="1333501"/>
    <xdr:graphicFrame macro="">
      <xdr:nvGraphicFramePr>
        <xdr:cNvPr id="1831463080" name="Chart 6">
          <a:extLst>
            <a:ext uri="{FF2B5EF4-FFF2-40B4-BE49-F238E27FC236}">
              <a16:creationId xmlns:a16="http://schemas.microsoft.com/office/drawing/2014/main" id="{00000000-0008-0000-0200-0000A8E829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0</xdr:colOff>
      <xdr:row>7</xdr:row>
      <xdr:rowOff>57150</xdr:rowOff>
    </xdr:from>
    <xdr:ext cx="1809750" cy="314325"/>
    <xdr:sp macro="" textlink="">
      <xdr:nvSpPr>
        <xdr:cNvPr id="4" name="Shape 4">
          <a:extLst>
            <a:ext uri="{FF2B5EF4-FFF2-40B4-BE49-F238E27FC236}">
              <a16:creationId xmlns:a16="http://schemas.microsoft.com/office/drawing/2014/main" id="{00000000-0008-0000-0200-000004000000}"/>
            </a:ext>
          </a:extLst>
        </xdr:cNvPr>
        <xdr:cNvSpPr txBox="1"/>
      </xdr:nvSpPr>
      <xdr:spPr>
        <a:xfrm>
          <a:off x="5200650" y="1200150"/>
          <a:ext cx="1809750" cy="314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Curva S del proyecto (mill)</a:t>
          </a:r>
          <a:endParaRPr sz="1100"/>
        </a:p>
      </xdr:txBody>
    </xdr:sp>
    <xdr:clientData fLocksWithSheet="0"/>
  </xdr:oneCellAnchor>
  <xdr:twoCellAnchor editAs="oneCell">
    <xdr:from>
      <xdr:col>0</xdr:col>
      <xdr:colOff>0</xdr:colOff>
      <xdr:row>28</xdr:row>
      <xdr:rowOff>178595</xdr:rowOff>
    </xdr:from>
    <xdr:to>
      <xdr:col>8</xdr:col>
      <xdr:colOff>1320</xdr:colOff>
      <xdr:row>36</xdr:row>
      <xdr:rowOff>47965</xdr:rowOff>
    </xdr:to>
    <xdr:pic>
      <xdr:nvPicPr>
        <xdr:cNvPr id="5" name="Imagen 4">
          <a:extLst>
            <a:ext uri="{FF2B5EF4-FFF2-40B4-BE49-F238E27FC236}">
              <a16:creationId xmlns:a16="http://schemas.microsoft.com/office/drawing/2014/main" id="{4A5A1B67-BF39-4196-98F8-4E221567106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0194"/>
        <a:stretch/>
      </xdr:blipFill>
      <xdr:spPr>
        <a:xfrm>
          <a:off x="0" y="5381626"/>
          <a:ext cx="2001570" cy="1393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114301</xdr:colOff>
      <xdr:row>6</xdr:row>
      <xdr:rowOff>166687</xdr:rowOff>
    </xdr:from>
    <xdr:ext cx="6696074" cy="3671887"/>
    <xdr:graphicFrame macro="">
      <xdr:nvGraphicFramePr>
        <xdr:cNvPr id="2" name="Chart 4" title="Gráfico">
          <a:extLst>
            <a:ext uri="{FF2B5EF4-FFF2-40B4-BE49-F238E27FC236}">
              <a16:creationId xmlns:a16="http://schemas.microsoft.com/office/drawing/2014/main" id="{36EF08C7-A0CE-43A7-9BC6-13056B9C08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23</xdr:col>
      <xdr:colOff>87313</xdr:colOff>
      <xdr:row>27</xdr:row>
      <xdr:rowOff>31751</xdr:rowOff>
    </xdr:from>
    <xdr:ext cx="3698874" cy="1863724"/>
    <xdr:graphicFrame macro="">
      <xdr:nvGraphicFramePr>
        <xdr:cNvPr id="3" name="Chart 5">
          <a:extLst>
            <a:ext uri="{FF2B5EF4-FFF2-40B4-BE49-F238E27FC236}">
              <a16:creationId xmlns:a16="http://schemas.microsoft.com/office/drawing/2014/main" id="{EE1B58C2-2812-4F06-B7F1-2EECEF5BD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59530</xdr:colOff>
      <xdr:row>9</xdr:row>
      <xdr:rowOff>123823</xdr:rowOff>
    </xdr:from>
    <xdr:ext cx="2638427" cy="1333501"/>
    <xdr:graphicFrame macro="">
      <xdr:nvGraphicFramePr>
        <xdr:cNvPr id="4" name="Chart 6">
          <a:extLst>
            <a:ext uri="{FF2B5EF4-FFF2-40B4-BE49-F238E27FC236}">
              <a16:creationId xmlns:a16="http://schemas.microsoft.com/office/drawing/2014/main" id="{6305D25A-61CD-4CC2-A1E9-5BC23C097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0</xdr:colOff>
      <xdr:row>7</xdr:row>
      <xdr:rowOff>57150</xdr:rowOff>
    </xdr:from>
    <xdr:ext cx="1809750" cy="314325"/>
    <xdr:sp macro="" textlink="">
      <xdr:nvSpPr>
        <xdr:cNvPr id="5" name="Shape 4">
          <a:extLst>
            <a:ext uri="{FF2B5EF4-FFF2-40B4-BE49-F238E27FC236}">
              <a16:creationId xmlns:a16="http://schemas.microsoft.com/office/drawing/2014/main" id="{EA589E84-400B-487C-9610-A023DA572931}"/>
            </a:ext>
          </a:extLst>
        </xdr:cNvPr>
        <xdr:cNvSpPr txBox="1"/>
      </xdr:nvSpPr>
      <xdr:spPr>
        <a:xfrm>
          <a:off x="5286375" y="1209675"/>
          <a:ext cx="1809750" cy="314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Curva S del proyecto (mill)</a:t>
          </a:r>
          <a:endParaRPr sz="1100"/>
        </a:p>
      </xdr:txBody>
    </xdr:sp>
    <xdr:clientData fLocksWithSheet="0"/>
  </xdr:oneCellAnchor>
  <xdr:twoCellAnchor editAs="oneCell">
    <xdr:from>
      <xdr:col>0</xdr:col>
      <xdr:colOff>1</xdr:colOff>
      <xdr:row>28</xdr:row>
      <xdr:rowOff>107156</xdr:rowOff>
    </xdr:from>
    <xdr:to>
      <xdr:col>7</xdr:col>
      <xdr:colOff>202408</xdr:colOff>
      <xdr:row>36</xdr:row>
      <xdr:rowOff>47625</xdr:rowOff>
    </xdr:to>
    <xdr:pic>
      <xdr:nvPicPr>
        <xdr:cNvPr id="7" name="Imagen 6">
          <a:extLst>
            <a:ext uri="{FF2B5EF4-FFF2-40B4-BE49-F238E27FC236}">
              <a16:creationId xmlns:a16="http://schemas.microsoft.com/office/drawing/2014/main" id="{6B346457-CEB0-48C1-9C2F-71F9C6049D17}"/>
            </a:ext>
          </a:extLst>
        </xdr:cNvPr>
        <xdr:cNvPicPr>
          <a:picLocks noChangeAspect="1"/>
        </xdr:cNvPicPr>
      </xdr:nvPicPr>
      <xdr:blipFill>
        <a:blip xmlns:r="http://schemas.openxmlformats.org/officeDocument/2006/relationships" r:embed="rId4"/>
        <a:stretch>
          <a:fillRect/>
        </a:stretch>
      </xdr:blipFill>
      <xdr:spPr>
        <a:xfrm>
          <a:off x="1" y="5310187"/>
          <a:ext cx="1952626" cy="1464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11</xdr:col>
      <xdr:colOff>114300</xdr:colOff>
      <xdr:row>6</xdr:row>
      <xdr:rowOff>171449</xdr:rowOff>
    </xdr:from>
    <xdr:ext cx="6819899" cy="3667125"/>
    <xdr:graphicFrame macro="">
      <xdr:nvGraphicFramePr>
        <xdr:cNvPr id="2" name="Chart 4" title="Gráfico">
          <a:extLst>
            <a:ext uri="{FF2B5EF4-FFF2-40B4-BE49-F238E27FC236}">
              <a16:creationId xmlns:a16="http://schemas.microsoft.com/office/drawing/2014/main" id="{9D55B314-E068-47CD-ACAF-9BB1AB4B7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23</xdr:col>
      <xdr:colOff>51594</xdr:colOff>
      <xdr:row>27</xdr:row>
      <xdr:rowOff>31751</xdr:rowOff>
    </xdr:from>
    <xdr:ext cx="3846512" cy="1863724"/>
    <xdr:graphicFrame macro="">
      <xdr:nvGraphicFramePr>
        <xdr:cNvPr id="3" name="Chart 5">
          <a:extLst>
            <a:ext uri="{FF2B5EF4-FFF2-40B4-BE49-F238E27FC236}">
              <a16:creationId xmlns:a16="http://schemas.microsoft.com/office/drawing/2014/main" id="{5D439816-1F69-4B04-B881-983406682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14</xdr:col>
      <xdr:colOff>142873</xdr:colOff>
      <xdr:row>11</xdr:row>
      <xdr:rowOff>52386</xdr:rowOff>
    </xdr:from>
    <xdr:ext cx="2638427" cy="1333501"/>
    <xdr:graphicFrame macro="">
      <xdr:nvGraphicFramePr>
        <xdr:cNvPr id="4" name="Chart 6">
          <a:extLst>
            <a:ext uri="{FF2B5EF4-FFF2-40B4-BE49-F238E27FC236}">
              <a16:creationId xmlns:a16="http://schemas.microsoft.com/office/drawing/2014/main" id="{95826D3B-DE72-4D97-A318-8651F9A7F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0</xdr:colOff>
      <xdr:row>7</xdr:row>
      <xdr:rowOff>57150</xdr:rowOff>
    </xdr:from>
    <xdr:ext cx="1809750" cy="314325"/>
    <xdr:sp macro="" textlink="">
      <xdr:nvSpPr>
        <xdr:cNvPr id="5" name="Shape 4">
          <a:extLst>
            <a:ext uri="{FF2B5EF4-FFF2-40B4-BE49-F238E27FC236}">
              <a16:creationId xmlns:a16="http://schemas.microsoft.com/office/drawing/2014/main" id="{3D6E9BED-4B6B-4B00-81DA-05F0D5678066}"/>
            </a:ext>
          </a:extLst>
        </xdr:cNvPr>
        <xdr:cNvSpPr txBox="1"/>
      </xdr:nvSpPr>
      <xdr:spPr>
        <a:xfrm>
          <a:off x="5200650" y="1209675"/>
          <a:ext cx="1809750" cy="314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Curva S del proyecto (mill)</a:t>
          </a:r>
          <a:endParaRPr sz="1100"/>
        </a:p>
      </xdr:txBody>
    </xdr:sp>
    <xdr:clientData fLocksWithSheet="0"/>
  </xdr:oneCellAnchor>
  <xdr:twoCellAnchor editAs="oneCell">
    <xdr:from>
      <xdr:col>0</xdr:col>
      <xdr:colOff>0</xdr:colOff>
      <xdr:row>29</xdr:row>
      <xdr:rowOff>50227</xdr:rowOff>
    </xdr:from>
    <xdr:to>
      <xdr:col>7</xdr:col>
      <xdr:colOff>214312</xdr:colOff>
      <xdr:row>35</xdr:row>
      <xdr:rowOff>25216</xdr:rowOff>
    </xdr:to>
    <xdr:pic>
      <xdr:nvPicPr>
        <xdr:cNvPr id="8" name="Imagen 7">
          <a:extLst>
            <a:ext uri="{FF2B5EF4-FFF2-40B4-BE49-F238E27FC236}">
              <a16:creationId xmlns:a16="http://schemas.microsoft.com/office/drawing/2014/main" id="{3A61CB0C-E45E-4ACD-9C4D-E24BB592846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5443758"/>
          <a:ext cx="1964531" cy="11179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114301</xdr:colOff>
      <xdr:row>6</xdr:row>
      <xdr:rowOff>171449</xdr:rowOff>
    </xdr:from>
    <xdr:ext cx="6711950" cy="3667125"/>
    <xdr:graphicFrame macro="">
      <xdr:nvGraphicFramePr>
        <xdr:cNvPr id="2" name="Chart 4" title="Gráfico">
          <a:extLst>
            <a:ext uri="{FF2B5EF4-FFF2-40B4-BE49-F238E27FC236}">
              <a16:creationId xmlns:a16="http://schemas.microsoft.com/office/drawing/2014/main" id="{B6A2D858-6665-479D-91C3-93E601910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23</xdr:col>
      <xdr:colOff>87313</xdr:colOff>
      <xdr:row>27</xdr:row>
      <xdr:rowOff>31751</xdr:rowOff>
    </xdr:from>
    <xdr:ext cx="3846512" cy="1863724"/>
    <xdr:graphicFrame macro="">
      <xdr:nvGraphicFramePr>
        <xdr:cNvPr id="3" name="Chart 5">
          <a:extLst>
            <a:ext uri="{FF2B5EF4-FFF2-40B4-BE49-F238E27FC236}">
              <a16:creationId xmlns:a16="http://schemas.microsoft.com/office/drawing/2014/main" id="{C7497467-35B4-44CB-B4AC-325839EEA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15</xdr:col>
      <xdr:colOff>226217</xdr:colOff>
      <xdr:row>8</xdr:row>
      <xdr:rowOff>183354</xdr:rowOff>
    </xdr:from>
    <xdr:ext cx="2638427" cy="1333501"/>
    <xdr:graphicFrame macro="">
      <xdr:nvGraphicFramePr>
        <xdr:cNvPr id="4" name="Chart 6">
          <a:extLst>
            <a:ext uri="{FF2B5EF4-FFF2-40B4-BE49-F238E27FC236}">
              <a16:creationId xmlns:a16="http://schemas.microsoft.com/office/drawing/2014/main" id="{BD6F412E-F18D-413B-8224-5A966A1AB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0</xdr:colOff>
      <xdr:row>7</xdr:row>
      <xdr:rowOff>57150</xdr:rowOff>
    </xdr:from>
    <xdr:ext cx="1809750" cy="314325"/>
    <xdr:sp macro="" textlink="">
      <xdr:nvSpPr>
        <xdr:cNvPr id="5" name="Shape 4">
          <a:extLst>
            <a:ext uri="{FF2B5EF4-FFF2-40B4-BE49-F238E27FC236}">
              <a16:creationId xmlns:a16="http://schemas.microsoft.com/office/drawing/2014/main" id="{83B1D3EE-93E4-4BCB-A004-2AE0D441EBD1}"/>
            </a:ext>
          </a:extLst>
        </xdr:cNvPr>
        <xdr:cNvSpPr txBox="1"/>
      </xdr:nvSpPr>
      <xdr:spPr>
        <a:xfrm>
          <a:off x="5200650" y="1209675"/>
          <a:ext cx="1809750" cy="314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Curva S del proyecto (mill)</a:t>
          </a:r>
          <a:endParaRPr sz="1100"/>
        </a:p>
      </xdr:txBody>
    </xdr:sp>
    <xdr:clientData fLocksWithSheet="0"/>
  </xdr:oneCellAnchor>
  <xdr:twoCellAnchor editAs="oneCell">
    <xdr:from>
      <xdr:col>0</xdr:col>
      <xdr:colOff>95251</xdr:colOff>
      <xdr:row>28</xdr:row>
      <xdr:rowOff>35720</xdr:rowOff>
    </xdr:from>
    <xdr:to>
      <xdr:col>7</xdr:col>
      <xdr:colOff>132596</xdr:colOff>
      <xdr:row>36</xdr:row>
      <xdr:rowOff>137570</xdr:rowOff>
    </xdr:to>
    <xdr:pic>
      <xdr:nvPicPr>
        <xdr:cNvPr id="8" name="Imagen 7">
          <a:extLst>
            <a:ext uri="{FF2B5EF4-FFF2-40B4-BE49-F238E27FC236}">
              <a16:creationId xmlns:a16="http://schemas.microsoft.com/office/drawing/2014/main" id="{36621EDB-56A2-413C-94B5-0F1AAC5C8907}"/>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1673" r="8541"/>
        <a:stretch/>
      </xdr:blipFill>
      <xdr:spPr>
        <a:xfrm>
          <a:off x="95251" y="5238751"/>
          <a:ext cx="1787564" cy="1625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114301</xdr:colOff>
      <xdr:row>6</xdr:row>
      <xdr:rowOff>171449</xdr:rowOff>
    </xdr:from>
    <xdr:ext cx="6711950" cy="3667125"/>
    <xdr:graphicFrame macro="">
      <xdr:nvGraphicFramePr>
        <xdr:cNvPr id="2" name="Chart 4" title="Gráfico">
          <a:extLst>
            <a:ext uri="{FF2B5EF4-FFF2-40B4-BE49-F238E27FC236}">
              <a16:creationId xmlns:a16="http://schemas.microsoft.com/office/drawing/2014/main" id="{CB1B65B7-EC57-4FF4-A50A-5D7F6D9926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23</xdr:col>
      <xdr:colOff>87313</xdr:colOff>
      <xdr:row>27</xdr:row>
      <xdr:rowOff>31751</xdr:rowOff>
    </xdr:from>
    <xdr:ext cx="3846512" cy="1863724"/>
    <xdr:graphicFrame macro="">
      <xdr:nvGraphicFramePr>
        <xdr:cNvPr id="3" name="Chart 5">
          <a:extLst>
            <a:ext uri="{FF2B5EF4-FFF2-40B4-BE49-F238E27FC236}">
              <a16:creationId xmlns:a16="http://schemas.microsoft.com/office/drawing/2014/main" id="{B2D4CE00-7606-4445-8ED5-E0F599227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56883</xdr:colOff>
      <xdr:row>9</xdr:row>
      <xdr:rowOff>45771</xdr:rowOff>
    </xdr:from>
    <xdr:ext cx="2638427" cy="1333501"/>
    <xdr:graphicFrame macro="">
      <xdr:nvGraphicFramePr>
        <xdr:cNvPr id="4" name="Chart 6">
          <a:extLst>
            <a:ext uri="{FF2B5EF4-FFF2-40B4-BE49-F238E27FC236}">
              <a16:creationId xmlns:a16="http://schemas.microsoft.com/office/drawing/2014/main" id="{AE5FC015-157D-4873-9DDB-565DFD724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21</xdr:col>
      <xdr:colOff>0</xdr:colOff>
      <xdr:row>7</xdr:row>
      <xdr:rowOff>57150</xdr:rowOff>
    </xdr:from>
    <xdr:ext cx="1809750" cy="314325"/>
    <xdr:sp macro="" textlink="">
      <xdr:nvSpPr>
        <xdr:cNvPr id="5" name="Shape 4">
          <a:extLst>
            <a:ext uri="{FF2B5EF4-FFF2-40B4-BE49-F238E27FC236}">
              <a16:creationId xmlns:a16="http://schemas.microsoft.com/office/drawing/2014/main" id="{411A6166-5F3E-46C4-9ECD-0FC612E7A4BC}"/>
            </a:ext>
          </a:extLst>
        </xdr:cNvPr>
        <xdr:cNvSpPr txBox="1"/>
      </xdr:nvSpPr>
      <xdr:spPr>
        <a:xfrm>
          <a:off x="5200650" y="1209675"/>
          <a:ext cx="1809750" cy="3143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Curva S del proyecto (mill)</a:t>
          </a:r>
          <a:endParaRPr sz="1100"/>
        </a:p>
      </xdr:txBody>
    </xdr:sp>
    <xdr:clientData fLocksWithSheet="0"/>
  </xdr:oneCellAnchor>
  <xdr:twoCellAnchor editAs="oneCell">
    <xdr:from>
      <xdr:col>0</xdr:col>
      <xdr:colOff>23814</xdr:colOff>
      <xdr:row>28</xdr:row>
      <xdr:rowOff>95250</xdr:rowOff>
    </xdr:from>
    <xdr:to>
      <xdr:col>7</xdr:col>
      <xdr:colOff>214313</xdr:colOff>
      <xdr:row>36</xdr:row>
      <xdr:rowOff>26788</xdr:rowOff>
    </xdr:to>
    <xdr:pic>
      <xdr:nvPicPr>
        <xdr:cNvPr id="7" name="Imagen 6">
          <a:extLst>
            <a:ext uri="{FF2B5EF4-FFF2-40B4-BE49-F238E27FC236}">
              <a16:creationId xmlns:a16="http://schemas.microsoft.com/office/drawing/2014/main" id="{928F13FE-60A2-4AA8-AFAE-0C321983B667}"/>
            </a:ext>
          </a:extLst>
        </xdr:cNvPr>
        <xdr:cNvPicPr>
          <a:picLocks noChangeAspect="1"/>
        </xdr:cNvPicPr>
      </xdr:nvPicPr>
      <xdr:blipFill>
        <a:blip xmlns:r="http://schemas.openxmlformats.org/officeDocument/2006/relationships" r:embed="rId4"/>
        <a:stretch>
          <a:fillRect/>
        </a:stretch>
      </xdr:blipFill>
      <xdr:spPr>
        <a:xfrm>
          <a:off x="23814" y="5488781"/>
          <a:ext cx="1940718" cy="145553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A1:AZ998"/>
  <sheetViews>
    <sheetView zoomScale="60" zoomScaleNormal="60" workbookViewId="0">
      <pane ySplit="1" topLeftCell="A2" activePane="bottomLeft" state="frozen"/>
      <selection pane="bottomLeft" activeCell="AV43" sqref="AV43"/>
    </sheetView>
  </sheetViews>
  <sheetFormatPr baseColWidth="10" defaultColWidth="14.42578125" defaultRowHeight="15" customHeight="1"/>
  <cols>
    <col min="1" max="4" width="11.7109375" style="25" customWidth="1"/>
    <col min="5" max="5" width="1.28515625" style="67" customWidth="1"/>
    <col min="6" max="6" width="23.140625" style="25" customWidth="1"/>
    <col min="7" max="7" width="42" style="25" bestFit="1" customWidth="1"/>
    <col min="8" max="8" width="6.85546875" style="25" customWidth="1"/>
    <col min="9" max="9" width="47.42578125" style="25" customWidth="1"/>
    <col min="10" max="10" width="13.140625" style="26" customWidth="1"/>
    <col min="11" max="11" width="19.140625" style="25" customWidth="1"/>
    <col min="12" max="12" width="20.42578125" style="25" customWidth="1"/>
    <col min="13" max="13" width="1.28515625" style="67" customWidth="1"/>
    <col min="14" max="14" width="15.5703125" style="25" customWidth="1"/>
    <col min="15" max="15" width="15.85546875" style="25" customWidth="1"/>
    <col min="16" max="16" width="16" style="25" customWidth="1"/>
    <col min="17" max="17" width="15.5703125" style="25" customWidth="1"/>
    <col min="18" max="18" width="11.7109375" style="25" customWidth="1"/>
    <col min="19" max="19" width="11.42578125" style="25" customWidth="1"/>
    <col min="20" max="20" width="10.28515625" style="25" customWidth="1"/>
    <col min="21" max="21" width="16.28515625" style="25" customWidth="1"/>
    <col min="22" max="22" width="15" style="25" customWidth="1"/>
    <col min="23" max="23" width="10.5703125" style="25" customWidth="1"/>
    <col min="24" max="24" width="10.85546875" style="25" customWidth="1"/>
    <col min="25" max="25" width="9.7109375" style="25" customWidth="1"/>
    <col min="26" max="26" width="9.42578125" style="25" customWidth="1"/>
    <col min="27" max="27" width="11" style="25" customWidth="1"/>
    <col min="28" max="28" width="16.42578125" style="25" customWidth="1"/>
    <col min="29" max="29" width="1.28515625" style="67" customWidth="1"/>
    <col min="30" max="30" width="17.7109375" style="26" customWidth="1"/>
    <col min="31" max="31" width="15.42578125" style="25" customWidth="1"/>
    <col min="32" max="32" width="14" style="25" bestFit="1" customWidth="1"/>
    <col min="33" max="33" width="14.85546875" style="25" customWidth="1"/>
    <col min="34" max="34" width="1.28515625" style="67" customWidth="1"/>
    <col min="35" max="35" width="19.28515625" style="25" customWidth="1"/>
    <col min="36" max="36" width="23.85546875" style="25" customWidth="1"/>
    <col min="37" max="37" width="19.42578125" style="25" customWidth="1"/>
    <col min="38" max="38" width="21.7109375" style="25" customWidth="1"/>
    <col min="39" max="39" width="20.28515625" style="25" customWidth="1"/>
    <col min="40" max="40" width="1.28515625" style="67" customWidth="1"/>
    <col min="41" max="41" width="13.85546875" style="25" customWidth="1"/>
    <col min="42" max="43" width="14.42578125" style="25" bestFit="1" customWidth="1"/>
    <col min="44" max="44" width="14.42578125" style="25" customWidth="1"/>
    <col min="45" max="45" width="13.42578125" style="25" bestFit="1" customWidth="1"/>
    <col min="46" max="46" width="12" style="25" customWidth="1"/>
    <col min="47" max="47" width="1.28515625" style="67" customWidth="1"/>
    <col min="48" max="48" width="69.140625" style="76" bestFit="1" customWidth="1"/>
    <col min="49" max="49" width="22.7109375" style="25" customWidth="1"/>
    <col min="50" max="50" width="13.140625" style="19" customWidth="1"/>
    <col min="51" max="51" width="14.42578125" style="19" customWidth="1"/>
    <col min="52" max="52" width="18.85546875" style="19" customWidth="1"/>
    <col min="53" max="16384" width="14.42578125" style="19"/>
  </cols>
  <sheetData>
    <row r="1" spans="1:52" s="27" customFormat="1" ht="146.25" customHeight="1">
      <c r="A1" s="20" t="s">
        <v>0</v>
      </c>
      <c r="B1" s="20" t="s">
        <v>1</v>
      </c>
      <c r="C1" s="20" t="s">
        <v>2</v>
      </c>
      <c r="D1" s="20" t="s">
        <v>3</v>
      </c>
      <c r="E1" s="21"/>
      <c r="F1" s="20" t="s">
        <v>4</v>
      </c>
      <c r="G1" s="20" t="s">
        <v>5</v>
      </c>
      <c r="H1" s="20" t="s">
        <v>6</v>
      </c>
      <c r="I1" s="20" t="s">
        <v>7</v>
      </c>
      <c r="J1" s="22" t="s">
        <v>8</v>
      </c>
      <c r="K1" s="20" t="s">
        <v>9</v>
      </c>
      <c r="L1" s="20" t="s">
        <v>10</v>
      </c>
      <c r="M1" s="21"/>
      <c r="N1" s="29" t="s">
        <v>235</v>
      </c>
      <c r="O1" s="29" t="s">
        <v>236</v>
      </c>
      <c r="P1" s="29" t="s">
        <v>237</v>
      </c>
      <c r="Q1" s="29" t="s">
        <v>238</v>
      </c>
      <c r="R1" s="29" t="s">
        <v>239</v>
      </c>
      <c r="S1" s="29" t="s">
        <v>240</v>
      </c>
      <c r="T1" s="29" t="s">
        <v>241</v>
      </c>
      <c r="U1" s="29" t="s">
        <v>242</v>
      </c>
      <c r="V1" s="29" t="s">
        <v>243</v>
      </c>
      <c r="W1" s="29" t="s">
        <v>244</v>
      </c>
      <c r="X1" s="29" t="s">
        <v>245</v>
      </c>
      <c r="Y1" s="29" t="s">
        <v>246</v>
      </c>
      <c r="Z1" s="29" t="s">
        <v>247</v>
      </c>
      <c r="AA1" s="29" t="s">
        <v>248</v>
      </c>
      <c r="AB1" s="29" t="s">
        <v>249</v>
      </c>
      <c r="AC1" s="21"/>
      <c r="AD1" s="22" t="s">
        <v>11</v>
      </c>
      <c r="AE1" s="20" t="s">
        <v>12</v>
      </c>
      <c r="AF1" s="20" t="s">
        <v>13</v>
      </c>
      <c r="AG1" s="20" t="s">
        <v>14</v>
      </c>
      <c r="AH1" s="21"/>
      <c r="AI1" s="20" t="s">
        <v>15</v>
      </c>
      <c r="AJ1" s="20" t="s">
        <v>16</v>
      </c>
      <c r="AK1" s="20" t="s">
        <v>17</v>
      </c>
      <c r="AL1" s="20" t="s">
        <v>18</v>
      </c>
      <c r="AM1" s="20" t="s">
        <v>19</v>
      </c>
      <c r="AN1" s="23"/>
      <c r="AO1" s="20" t="s">
        <v>20</v>
      </c>
      <c r="AP1" s="20" t="s">
        <v>21</v>
      </c>
      <c r="AQ1" s="20" t="s">
        <v>22</v>
      </c>
      <c r="AR1" s="20" t="s">
        <v>23</v>
      </c>
      <c r="AS1" s="20" t="s">
        <v>24</v>
      </c>
      <c r="AT1" s="20" t="s">
        <v>25</v>
      </c>
      <c r="AU1" s="21"/>
      <c r="AV1" s="20" t="s">
        <v>26</v>
      </c>
      <c r="AW1" s="20" t="s">
        <v>27</v>
      </c>
      <c r="AX1" s="36" t="s">
        <v>251</v>
      </c>
      <c r="AY1" s="36" t="s">
        <v>250</v>
      </c>
      <c r="AZ1" s="36" t="s">
        <v>252</v>
      </c>
    </row>
    <row r="2" spans="1:52" s="58" customFormat="1" ht="60">
      <c r="A2" s="30">
        <v>1</v>
      </c>
      <c r="B2" s="30" t="s">
        <v>28</v>
      </c>
      <c r="C2" s="30" t="s">
        <v>29</v>
      </c>
      <c r="D2" s="30" t="s">
        <v>30</v>
      </c>
      <c r="E2" s="66"/>
      <c r="F2" s="30" t="s">
        <v>31</v>
      </c>
      <c r="G2" s="30" t="s">
        <v>32</v>
      </c>
      <c r="H2" s="30" t="s">
        <v>33</v>
      </c>
      <c r="I2" s="34" t="s">
        <v>34</v>
      </c>
      <c r="J2" s="50">
        <v>41450</v>
      </c>
      <c r="K2" s="30" t="s">
        <v>35</v>
      </c>
      <c r="L2" s="34">
        <v>338677626.76999998</v>
      </c>
      <c r="M2" s="66"/>
      <c r="N2" s="34">
        <f>+AJ2/1000000</f>
        <v>425.90320316999998</v>
      </c>
      <c r="O2" s="34">
        <f>+N2</f>
        <v>425.90320316999998</v>
      </c>
      <c r="P2" s="34">
        <f>+AM2/1000000</f>
        <v>392.73630608999997</v>
      </c>
      <c r="Q2" s="34">
        <f>392736306.09/1000000</f>
        <v>392.73630608999997</v>
      </c>
      <c r="R2" s="31">
        <f t="shared" ref="R2:R29" si="0">+O2/N2</f>
        <v>1</v>
      </c>
      <c r="S2" s="31">
        <f t="shared" ref="S2:S5" si="1">+Q2/N2</f>
        <v>0.9221257392920772</v>
      </c>
      <c r="T2" s="31">
        <f t="shared" ref="T2:T29" si="2">+P2/N2</f>
        <v>0.9221257392920772</v>
      </c>
      <c r="U2" s="32">
        <f t="shared" ref="U2:U30" si="3">+Q2-O2</f>
        <v>-33.166897080000012</v>
      </c>
      <c r="V2" s="32">
        <f t="shared" ref="V2:V30" si="4">+Q2-P2</f>
        <v>0</v>
      </c>
      <c r="W2" s="31">
        <f t="shared" ref="W2:W13" si="5">+U2/O2</f>
        <v>-7.7874260707922846E-2</v>
      </c>
      <c r="X2" s="31">
        <f t="shared" ref="X2:X13" si="6">+V2/Q2</f>
        <v>0</v>
      </c>
      <c r="Y2" s="33">
        <f t="shared" ref="Y2:Y13" si="7">+Q2/O2</f>
        <v>0.9221257392920772</v>
      </c>
      <c r="Z2" s="33">
        <f t="shared" ref="Z2:Z13" si="8">+Q2/P2</f>
        <v>1</v>
      </c>
      <c r="AA2" s="33">
        <f t="shared" ref="AA2:AA29" si="9">+(N2-Q2)/(N2-P2)</f>
        <v>1</v>
      </c>
      <c r="AB2" s="33">
        <f>+(N2/Y2)/(N2/AE2)+AP2</f>
        <v>381.16091587525784</v>
      </c>
      <c r="AC2" s="66"/>
      <c r="AD2" s="50">
        <v>43710</v>
      </c>
      <c r="AE2" s="51">
        <v>144</v>
      </c>
      <c r="AF2" s="52">
        <v>44263</v>
      </c>
      <c r="AG2" s="30" t="s">
        <v>36</v>
      </c>
      <c r="AH2" s="66"/>
      <c r="AI2" s="34">
        <v>87225576.400000006</v>
      </c>
      <c r="AJ2" s="34">
        <f>+L2+AI2</f>
        <v>425903203.16999996</v>
      </c>
      <c r="AK2" s="34">
        <v>28657807.329999998</v>
      </c>
      <c r="AL2" s="34">
        <f>+AJ2+AK2</f>
        <v>454561010.49999994</v>
      </c>
      <c r="AM2" s="34">
        <v>392736306.08999997</v>
      </c>
      <c r="AN2" s="66"/>
      <c r="AO2" s="53">
        <f>+AS2/AR2</f>
        <v>0.35338345864661652</v>
      </c>
      <c r="AP2" s="33">
        <v>225</v>
      </c>
      <c r="AQ2" s="33">
        <v>30</v>
      </c>
      <c r="AR2" s="33">
        <f>+AE2+AQ2+AP2</f>
        <v>399</v>
      </c>
      <c r="AS2" s="33">
        <v>141</v>
      </c>
      <c r="AT2" s="33">
        <f>+AR2-AS2</f>
        <v>258</v>
      </c>
      <c r="AU2" s="68"/>
      <c r="AV2" s="74" t="s">
        <v>254</v>
      </c>
      <c r="AW2" s="54" t="s">
        <v>37</v>
      </c>
      <c r="AX2" s="55">
        <v>44263</v>
      </c>
      <c r="AY2" s="56">
        <v>98</v>
      </c>
      <c r="AZ2" s="57">
        <v>0</v>
      </c>
    </row>
    <row r="3" spans="1:52" s="58" customFormat="1" ht="138" customHeight="1">
      <c r="A3" s="30">
        <v>2</v>
      </c>
      <c r="B3" s="30" t="s">
        <v>28</v>
      </c>
      <c r="C3" s="30" t="s">
        <v>29</v>
      </c>
      <c r="D3" s="30" t="s">
        <v>30</v>
      </c>
      <c r="E3" s="66"/>
      <c r="F3" s="30" t="s">
        <v>38</v>
      </c>
      <c r="G3" s="30" t="s">
        <v>39</v>
      </c>
      <c r="H3" s="30" t="s">
        <v>33</v>
      </c>
      <c r="I3" s="34" t="s">
        <v>40</v>
      </c>
      <c r="J3" s="50">
        <v>41689</v>
      </c>
      <c r="K3" s="30" t="s">
        <v>41</v>
      </c>
      <c r="L3" s="34">
        <v>2109578074.3499999</v>
      </c>
      <c r="M3" s="66"/>
      <c r="N3" s="34">
        <f t="shared" ref="N3:N29" si="10">+AJ3/1000000</f>
        <v>2016.1566771799999</v>
      </c>
      <c r="O3" s="34">
        <f t="shared" ref="O3:O41" si="11">+N3</f>
        <v>2016.1566771799999</v>
      </c>
      <c r="P3" s="34">
        <f t="shared" ref="P3:P41" si="12">+AM3/1000000</f>
        <v>1912.2528805999998</v>
      </c>
      <c r="Q3" s="34">
        <f>1912252880.6/1000000</f>
        <v>1912.2528805999998</v>
      </c>
      <c r="R3" s="31">
        <f t="shared" si="0"/>
        <v>1</v>
      </c>
      <c r="S3" s="31">
        <f t="shared" si="1"/>
        <v>0.948464423546026</v>
      </c>
      <c r="T3" s="31">
        <f t="shared" si="2"/>
        <v>0.948464423546026</v>
      </c>
      <c r="U3" s="32">
        <f t="shared" si="3"/>
        <v>-103.90379658000006</v>
      </c>
      <c r="V3" s="32">
        <f t="shared" si="4"/>
        <v>0</v>
      </c>
      <c r="W3" s="31">
        <f t="shared" si="5"/>
        <v>-5.1535576453974004E-2</v>
      </c>
      <c r="X3" s="31">
        <f t="shared" si="6"/>
        <v>0</v>
      </c>
      <c r="Y3" s="33">
        <f t="shared" si="7"/>
        <v>0.948464423546026</v>
      </c>
      <c r="Z3" s="33">
        <f t="shared" si="8"/>
        <v>1</v>
      </c>
      <c r="AA3" s="33">
        <f t="shared" si="9"/>
        <v>1</v>
      </c>
      <c r="AB3" s="33">
        <f t="shared" ref="AB3:AB13" si="13">+(N3/Y3)/(N3/AE3)+AP3</f>
        <v>601.53672151333774</v>
      </c>
      <c r="AC3" s="66"/>
      <c r="AD3" s="50">
        <v>43661</v>
      </c>
      <c r="AE3" s="51">
        <v>562</v>
      </c>
      <c r="AF3" s="52">
        <v>44257</v>
      </c>
      <c r="AG3" s="30" t="s">
        <v>36</v>
      </c>
      <c r="AH3" s="66"/>
      <c r="AI3" s="34">
        <v>-93421397.170000002</v>
      </c>
      <c r="AJ3" s="34">
        <f t="shared" ref="AJ3:AJ37" si="14">+L3+AI3</f>
        <v>2016156677.1799998</v>
      </c>
      <c r="AK3" s="34">
        <v>90526792.180000007</v>
      </c>
      <c r="AL3" s="34">
        <f t="shared" ref="AL3:AL37" si="15">+AJ3+AK3</f>
        <v>2106683469.3599999</v>
      </c>
      <c r="AM3" s="34">
        <v>1912252880.5999999</v>
      </c>
      <c r="AN3" s="66"/>
      <c r="AO3" s="53">
        <f t="shared" ref="AO3:AO25" si="16">+AS3/AR3</f>
        <v>0.97986577181208057</v>
      </c>
      <c r="AP3" s="33">
        <v>9</v>
      </c>
      <c r="AQ3" s="33">
        <v>25</v>
      </c>
      <c r="AR3" s="33">
        <f t="shared" ref="AR3:AR25" si="17">+AE3+AQ3+AP3</f>
        <v>596</v>
      </c>
      <c r="AS3" s="33">
        <v>584</v>
      </c>
      <c r="AT3" s="33">
        <f t="shared" ref="AT3:AT29" si="18">+AR3-AS3</f>
        <v>12</v>
      </c>
      <c r="AU3" s="68"/>
      <c r="AV3" s="74" t="s">
        <v>265</v>
      </c>
      <c r="AW3" s="54" t="s">
        <v>42</v>
      </c>
      <c r="AX3" s="55">
        <v>44253</v>
      </c>
      <c r="AY3" s="56">
        <v>650</v>
      </c>
      <c r="AZ3" s="57">
        <v>0</v>
      </c>
    </row>
    <row r="4" spans="1:52" s="58" customFormat="1" ht="60">
      <c r="A4" s="30">
        <v>3</v>
      </c>
      <c r="B4" s="30" t="s">
        <v>28</v>
      </c>
      <c r="C4" s="30" t="s">
        <v>29</v>
      </c>
      <c r="D4" s="30" t="s">
        <v>30</v>
      </c>
      <c r="E4" s="66"/>
      <c r="F4" s="30" t="s">
        <v>43</v>
      </c>
      <c r="G4" s="30" t="s">
        <v>44</v>
      </c>
      <c r="H4" s="30" t="s">
        <v>33</v>
      </c>
      <c r="I4" s="34" t="s">
        <v>45</v>
      </c>
      <c r="J4" s="50">
        <v>41904</v>
      </c>
      <c r="K4" s="30" t="s">
        <v>46</v>
      </c>
      <c r="L4" s="34">
        <v>279377709.36000001</v>
      </c>
      <c r="M4" s="66"/>
      <c r="N4" s="34">
        <f t="shared" si="10"/>
        <v>454.51820499000002</v>
      </c>
      <c r="O4" s="34">
        <f t="shared" si="11"/>
        <v>454.51820499000002</v>
      </c>
      <c r="P4" s="34">
        <f t="shared" si="12"/>
        <v>397.59311985000005</v>
      </c>
      <c r="Q4" s="34">
        <f>397593119.85/1000000</f>
        <v>397.59311985000005</v>
      </c>
      <c r="R4" s="31">
        <f t="shared" si="0"/>
        <v>1</v>
      </c>
      <c r="S4" s="31">
        <f t="shared" si="1"/>
        <v>0.87475730451489309</v>
      </c>
      <c r="T4" s="31">
        <f t="shared" si="2"/>
        <v>0.87475730451489309</v>
      </c>
      <c r="U4" s="32">
        <f t="shared" si="3"/>
        <v>-56.925085139999965</v>
      </c>
      <c r="V4" s="32">
        <f t="shared" si="4"/>
        <v>0</v>
      </c>
      <c r="W4" s="31">
        <f t="shared" si="5"/>
        <v>-0.12524269548510689</v>
      </c>
      <c r="X4" s="31">
        <f t="shared" si="6"/>
        <v>0</v>
      </c>
      <c r="Y4" s="33">
        <f t="shared" si="7"/>
        <v>0.87475730451489309</v>
      </c>
      <c r="Z4" s="33">
        <f t="shared" si="8"/>
        <v>1</v>
      </c>
      <c r="AA4" s="33">
        <f t="shared" si="9"/>
        <v>1</v>
      </c>
      <c r="AB4" s="33">
        <f t="shared" si="13"/>
        <v>338.48723085266943</v>
      </c>
      <c r="AC4" s="66"/>
      <c r="AD4" s="50">
        <v>43200</v>
      </c>
      <c r="AE4" s="51">
        <v>185</v>
      </c>
      <c r="AF4" s="52">
        <v>44448</v>
      </c>
      <c r="AG4" s="30" t="s">
        <v>36</v>
      </c>
      <c r="AH4" s="66"/>
      <c r="AI4" s="34">
        <v>175140495.63</v>
      </c>
      <c r="AJ4" s="34">
        <f t="shared" si="14"/>
        <v>454518204.99000001</v>
      </c>
      <c r="AK4" s="34">
        <v>13702265.65</v>
      </c>
      <c r="AL4" s="34">
        <f t="shared" si="15"/>
        <v>468220470.63999999</v>
      </c>
      <c r="AM4" s="34">
        <v>397593119.85000002</v>
      </c>
      <c r="AN4" s="66"/>
      <c r="AO4" s="53">
        <f t="shared" si="16"/>
        <v>0.58974358974358976</v>
      </c>
      <c r="AP4" s="33">
        <v>127</v>
      </c>
      <c r="AQ4" s="33">
        <v>0</v>
      </c>
      <c r="AR4" s="33">
        <f t="shared" si="17"/>
        <v>312</v>
      </c>
      <c r="AS4" s="33">
        <v>184</v>
      </c>
      <c r="AT4" s="33">
        <f t="shared" si="18"/>
        <v>128</v>
      </c>
      <c r="AU4" s="68"/>
      <c r="AV4" s="74" t="s">
        <v>255</v>
      </c>
      <c r="AW4" s="54" t="s">
        <v>47</v>
      </c>
      <c r="AX4" s="55">
        <v>44448</v>
      </c>
      <c r="AY4" s="56">
        <v>914</v>
      </c>
      <c r="AZ4" s="57">
        <v>0</v>
      </c>
    </row>
    <row r="5" spans="1:52" s="58" customFormat="1" ht="112.5" customHeight="1">
      <c r="A5" s="30">
        <v>4</v>
      </c>
      <c r="B5" s="30" t="s">
        <v>28</v>
      </c>
      <c r="C5" s="30" t="s">
        <v>29</v>
      </c>
      <c r="D5" s="30" t="s">
        <v>30</v>
      </c>
      <c r="E5" s="66"/>
      <c r="F5" s="30" t="s">
        <v>48</v>
      </c>
      <c r="G5" s="30" t="s">
        <v>49</v>
      </c>
      <c r="H5" s="30" t="s">
        <v>33</v>
      </c>
      <c r="I5" s="34" t="s">
        <v>50</v>
      </c>
      <c r="J5" s="50">
        <v>41974</v>
      </c>
      <c r="K5" s="30" t="s">
        <v>41</v>
      </c>
      <c r="L5" s="34">
        <v>1486421327.21</v>
      </c>
      <c r="M5" s="66"/>
      <c r="N5" s="34">
        <f t="shared" si="10"/>
        <v>2016.1755501600001</v>
      </c>
      <c r="O5" s="34">
        <f t="shared" si="11"/>
        <v>2016.1755501600001</v>
      </c>
      <c r="P5" s="34">
        <f t="shared" si="12"/>
        <v>1411.5943990000001</v>
      </c>
      <c r="Q5" s="34">
        <f>1411594399/1000000</f>
        <v>1411.5943990000001</v>
      </c>
      <c r="R5" s="31">
        <f t="shared" si="0"/>
        <v>1</v>
      </c>
      <c r="S5" s="31">
        <f t="shared" si="1"/>
        <v>0.70013466778127453</v>
      </c>
      <c r="T5" s="31">
        <f t="shared" si="2"/>
        <v>0.70013466778127453</v>
      </c>
      <c r="U5" s="32">
        <f t="shared" si="3"/>
        <v>-604.58115115999999</v>
      </c>
      <c r="V5" s="32">
        <f t="shared" si="4"/>
        <v>0</v>
      </c>
      <c r="W5" s="31">
        <f t="shared" si="5"/>
        <v>-0.29986533221872547</v>
      </c>
      <c r="X5" s="31">
        <f t="shared" si="6"/>
        <v>0</v>
      </c>
      <c r="Y5" s="33">
        <f t="shared" si="7"/>
        <v>0.70013466778127453</v>
      </c>
      <c r="Z5" s="33">
        <f t="shared" si="8"/>
        <v>1</v>
      </c>
      <c r="AA5" s="33">
        <f t="shared" si="9"/>
        <v>1</v>
      </c>
      <c r="AB5" s="33">
        <f t="shared" si="13"/>
        <v>320.66510021172166</v>
      </c>
      <c r="AC5" s="66"/>
      <c r="AD5" s="50">
        <v>44257</v>
      </c>
      <c r="AE5" s="51">
        <v>179</v>
      </c>
      <c r="AF5" s="52">
        <v>44500</v>
      </c>
      <c r="AG5" s="30" t="s">
        <v>36</v>
      </c>
      <c r="AH5" s="66"/>
      <c r="AI5" s="34">
        <v>529754222.94999999</v>
      </c>
      <c r="AJ5" s="34">
        <f t="shared" si="14"/>
        <v>2016175550.1600001</v>
      </c>
      <c r="AK5" s="34">
        <v>78503506.060000002</v>
      </c>
      <c r="AL5" s="34">
        <f t="shared" si="15"/>
        <v>2094679056.22</v>
      </c>
      <c r="AM5" s="34">
        <v>1411594399</v>
      </c>
      <c r="AN5" s="66"/>
      <c r="AO5" s="53">
        <f t="shared" si="16"/>
        <v>0.57425742574257421</v>
      </c>
      <c r="AP5" s="33">
        <v>65</v>
      </c>
      <c r="AQ5" s="33">
        <v>59</v>
      </c>
      <c r="AR5" s="33">
        <f t="shared" si="17"/>
        <v>303</v>
      </c>
      <c r="AS5" s="33">
        <v>174</v>
      </c>
      <c r="AT5" s="33">
        <f t="shared" si="18"/>
        <v>129</v>
      </c>
      <c r="AU5" s="68"/>
      <c r="AV5" s="74" t="s">
        <v>307</v>
      </c>
      <c r="AW5" s="54" t="s">
        <v>51</v>
      </c>
      <c r="AX5" s="59" t="s">
        <v>253</v>
      </c>
      <c r="AY5" s="56">
        <v>59</v>
      </c>
      <c r="AZ5" s="57">
        <v>0</v>
      </c>
    </row>
    <row r="6" spans="1:52" s="58" customFormat="1" ht="135">
      <c r="A6" s="30">
        <v>5</v>
      </c>
      <c r="B6" s="30" t="s">
        <v>28</v>
      </c>
      <c r="C6" s="30" t="s">
        <v>29</v>
      </c>
      <c r="D6" s="30" t="s">
        <v>30</v>
      </c>
      <c r="E6" s="66"/>
      <c r="F6" s="30" t="s">
        <v>52</v>
      </c>
      <c r="G6" s="30" t="s">
        <v>53</v>
      </c>
      <c r="H6" s="30" t="s">
        <v>33</v>
      </c>
      <c r="I6" s="34" t="s">
        <v>54</v>
      </c>
      <c r="J6" s="50">
        <v>43769</v>
      </c>
      <c r="K6" s="30" t="s">
        <v>41</v>
      </c>
      <c r="L6" s="34">
        <v>3714305213.71</v>
      </c>
      <c r="M6" s="66"/>
      <c r="N6" s="34">
        <f t="shared" si="10"/>
        <v>3714.3052137099999</v>
      </c>
      <c r="O6" s="34">
        <f t="shared" si="11"/>
        <v>3714.3052137099999</v>
      </c>
      <c r="P6" s="34">
        <f t="shared" si="12"/>
        <v>3617.4248204299997</v>
      </c>
      <c r="Q6" s="34">
        <f>3617424820.43/1000000</f>
        <v>3617.4248204299997</v>
      </c>
      <c r="R6" s="31">
        <f t="shared" si="0"/>
        <v>1</v>
      </c>
      <c r="S6" s="31">
        <f>Q6/N6</f>
        <v>0.97391695412579404</v>
      </c>
      <c r="T6" s="31">
        <f t="shared" si="2"/>
        <v>0.97391695412579404</v>
      </c>
      <c r="U6" s="32">
        <f t="shared" si="3"/>
        <v>-96.880393280000135</v>
      </c>
      <c r="V6" s="32">
        <f t="shared" si="4"/>
        <v>0</v>
      </c>
      <c r="W6" s="31">
        <f t="shared" si="5"/>
        <v>-2.6083045874205915E-2</v>
      </c>
      <c r="X6" s="31">
        <f t="shared" si="6"/>
        <v>0</v>
      </c>
      <c r="Y6" s="33">
        <f t="shared" si="7"/>
        <v>0.97391695412579404</v>
      </c>
      <c r="Z6" s="33">
        <f t="shared" si="8"/>
        <v>1</v>
      </c>
      <c r="AA6" s="33">
        <f t="shared" si="9"/>
        <v>1</v>
      </c>
      <c r="AB6" s="33">
        <f t="shared" si="13"/>
        <v>404.77528084273962</v>
      </c>
      <c r="AC6" s="66"/>
      <c r="AD6" s="50">
        <v>43788</v>
      </c>
      <c r="AE6" s="51">
        <v>365</v>
      </c>
      <c r="AF6" s="60">
        <v>44254</v>
      </c>
      <c r="AG6" s="30" t="s">
        <v>36</v>
      </c>
      <c r="AH6" s="66"/>
      <c r="AI6" s="34">
        <v>0</v>
      </c>
      <c r="AJ6" s="34">
        <f t="shared" si="14"/>
        <v>3714305213.71</v>
      </c>
      <c r="AK6" s="34">
        <v>0</v>
      </c>
      <c r="AL6" s="34">
        <f t="shared" si="15"/>
        <v>3714305213.71</v>
      </c>
      <c r="AM6" s="34">
        <v>3617424820.4299998</v>
      </c>
      <c r="AN6" s="66"/>
      <c r="AO6" s="53">
        <f t="shared" si="16"/>
        <v>0.92151898734177218</v>
      </c>
      <c r="AP6" s="33">
        <v>30</v>
      </c>
      <c r="AQ6" s="33">
        <v>0</v>
      </c>
      <c r="AR6" s="33">
        <f t="shared" si="17"/>
        <v>395</v>
      </c>
      <c r="AS6" s="33">
        <v>364</v>
      </c>
      <c r="AT6" s="33">
        <f t="shared" si="18"/>
        <v>31</v>
      </c>
      <c r="AU6" s="68"/>
      <c r="AV6" s="74" t="s">
        <v>308</v>
      </c>
      <c r="AW6" s="54" t="s">
        <v>55</v>
      </c>
      <c r="AX6" s="55">
        <v>43788</v>
      </c>
      <c r="AY6" s="61">
        <v>69</v>
      </c>
      <c r="AZ6" s="57">
        <v>0</v>
      </c>
    </row>
    <row r="7" spans="1:52" s="58" customFormat="1" ht="160.5" customHeight="1">
      <c r="A7" s="30">
        <v>6</v>
      </c>
      <c r="B7" s="30" t="s">
        <v>28</v>
      </c>
      <c r="C7" s="30" t="s">
        <v>29</v>
      </c>
      <c r="D7" s="30" t="s">
        <v>30</v>
      </c>
      <c r="E7" s="66"/>
      <c r="F7" s="30" t="s">
        <v>56</v>
      </c>
      <c r="G7" s="30" t="s">
        <v>57</v>
      </c>
      <c r="H7" s="30" t="s">
        <v>33</v>
      </c>
      <c r="I7" s="34" t="s">
        <v>58</v>
      </c>
      <c r="J7" s="50">
        <v>43761</v>
      </c>
      <c r="K7" s="30" t="s">
        <v>59</v>
      </c>
      <c r="L7" s="34">
        <v>1291327558.9100001</v>
      </c>
      <c r="M7" s="66"/>
      <c r="N7" s="34">
        <f t="shared" si="10"/>
        <v>1934.3767859900001</v>
      </c>
      <c r="O7" s="34">
        <f t="shared" si="11"/>
        <v>1934.3767859900001</v>
      </c>
      <c r="P7" s="34">
        <f t="shared" si="12"/>
        <v>1418.4990940499999</v>
      </c>
      <c r="Q7" s="34">
        <f>1934376816.06 /1000000</f>
        <v>1934.37681606</v>
      </c>
      <c r="R7" s="31">
        <f t="shared" si="0"/>
        <v>1</v>
      </c>
      <c r="S7" s="31">
        <f t="shared" ref="S7:S29" si="19">+Q7/N7</f>
        <v>1.0000000155450584</v>
      </c>
      <c r="T7" s="31">
        <f t="shared" si="2"/>
        <v>0.73331064781364319</v>
      </c>
      <c r="U7" s="32">
        <f t="shared" si="3"/>
        <v>3.0069999866100261E-5</v>
      </c>
      <c r="V7" s="32">
        <f t="shared" si="4"/>
        <v>515.87772201000007</v>
      </c>
      <c r="W7" s="31">
        <f t="shared" si="5"/>
        <v>1.554505827607451E-8</v>
      </c>
      <c r="X7" s="31">
        <f t="shared" si="6"/>
        <v>0.26668936358571343</v>
      </c>
      <c r="Y7" s="33">
        <f t="shared" si="7"/>
        <v>1.0000000155450584</v>
      </c>
      <c r="Z7" s="33">
        <f t="shared" si="8"/>
        <v>1.3636785699574201</v>
      </c>
      <c r="AA7" s="33">
        <f t="shared" si="9"/>
        <v>-5.8289009848477012E-8</v>
      </c>
      <c r="AB7" s="33">
        <f t="shared" si="13"/>
        <v>542.99999533648247</v>
      </c>
      <c r="AC7" s="66"/>
      <c r="AD7" s="50">
        <v>43782</v>
      </c>
      <c r="AE7" s="51">
        <v>300</v>
      </c>
      <c r="AF7" s="52">
        <v>45139</v>
      </c>
      <c r="AG7" s="30" t="s">
        <v>60</v>
      </c>
      <c r="AH7" s="66"/>
      <c r="AI7" s="34">
        <v>643049227.08000004</v>
      </c>
      <c r="AJ7" s="34">
        <f t="shared" si="14"/>
        <v>1934376785.9900002</v>
      </c>
      <c r="AK7" s="34">
        <v>248835538.90000001</v>
      </c>
      <c r="AL7" s="34">
        <f>+AJ7+AK7</f>
        <v>2183212324.8900003</v>
      </c>
      <c r="AM7" s="34">
        <v>1418499094.05</v>
      </c>
      <c r="AN7" s="66"/>
      <c r="AO7" s="53">
        <f t="shared" si="16"/>
        <v>0.52427184466019416</v>
      </c>
      <c r="AP7" s="33">
        <v>243</v>
      </c>
      <c r="AQ7" s="33">
        <v>75</v>
      </c>
      <c r="AR7" s="33">
        <f t="shared" si="17"/>
        <v>618</v>
      </c>
      <c r="AS7" s="33">
        <v>324</v>
      </c>
      <c r="AT7" s="33">
        <f t="shared" si="18"/>
        <v>294</v>
      </c>
      <c r="AU7" s="68"/>
      <c r="AV7" s="74" t="s">
        <v>300</v>
      </c>
      <c r="AW7" s="62" t="s">
        <v>61</v>
      </c>
      <c r="AX7" s="55">
        <v>45019</v>
      </c>
      <c r="AY7" s="56">
        <v>737</v>
      </c>
      <c r="AZ7" s="57">
        <v>62368857.829999998</v>
      </c>
    </row>
    <row r="8" spans="1:52" s="58" customFormat="1" ht="78.75" customHeight="1">
      <c r="A8" s="30">
        <v>7</v>
      </c>
      <c r="B8" s="30" t="s">
        <v>28</v>
      </c>
      <c r="C8" s="30" t="s">
        <v>29</v>
      </c>
      <c r="D8" s="30" t="s">
        <v>30</v>
      </c>
      <c r="E8" s="66"/>
      <c r="F8" s="30" t="s">
        <v>62</v>
      </c>
      <c r="G8" s="30" t="s">
        <v>63</v>
      </c>
      <c r="H8" s="30" t="s">
        <v>33</v>
      </c>
      <c r="I8" s="34" t="s">
        <v>64</v>
      </c>
      <c r="J8" s="50">
        <v>42726</v>
      </c>
      <c r="K8" s="30" t="s">
        <v>65</v>
      </c>
      <c r="L8" s="34">
        <v>343124893.54000002</v>
      </c>
      <c r="M8" s="66"/>
      <c r="N8" s="34">
        <f t="shared" si="10"/>
        <v>707.39446814000007</v>
      </c>
      <c r="O8" s="34">
        <f t="shared" si="11"/>
        <v>707.39446814000007</v>
      </c>
      <c r="P8" s="34">
        <f t="shared" si="12"/>
        <v>672.73589521999997</v>
      </c>
      <c r="Q8" s="34">
        <f>696797960.09/1000000</f>
        <v>696.79796009000006</v>
      </c>
      <c r="R8" s="31">
        <f t="shared" si="0"/>
        <v>1</v>
      </c>
      <c r="S8" s="31">
        <f t="shared" si="19"/>
        <v>0.98502036907658874</v>
      </c>
      <c r="T8" s="31">
        <f t="shared" si="2"/>
        <v>0.9510053096525759</v>
      </c>
      <c r="U8" s="32">
        <f t="shared" si="3"/>
        <v>-10.596508050000011</v>
      </c>
      <c r="V8" s="32">
        <f t="shared" si="4"/>
        <v>24.062064870000086</v>
      </c>
      <c r="W8" s="31">
        <f t="shared" si="5"/>
        <v>-1.4979630923411267E-2</v>
      </c>
      <c r="X8" s="31">
        <f t="shared" si="6"/>
        <v>3.4532341149351491E-2</v>
      </c>
      <c r="Y8" s="33">
        <f t="shared" si="7"/>
        <v>0.98502036907658874</v>
      </c>
      <c r="Z8" s="33">
        <f t="shared" si="8"/>
        <v>1.0357674758266484</v>
      </c>
      <c r="AA8" s="33">
        <f t="shared" si="9"/>
        <v>0.30573988359125959</v>
      </c>
      <c r="AB8" s="33">
        <f t="shared" si="13"/>
        <v>462.00738111004136</v>
      </c>
      <c r="AC8" s="66"/>
      <c r="AD8" s="50">
        <v>43242</v>
      </c>
      <c r="AE8" s="51">
        <v>132</v>
      </c>
      <c r="AF8" s="50">
        <v>44945</v>
      </c>
      <c r="AG8" s="30" t="s">
        <v>36</v>
      </c>
      <c r="AH8" s="66"/>
      <c r="AI8" s="34">
        <v>364269574.60000002</v>
      </c>
      <c r="AJ8" s="34">
        <f t="shared" si="14"/>
        <v>707394468.1400001</v>
      </c>
      <c r="AK8" s="34">
        <v>24062064.870000001</v>
      </c>
      <c r="AL8" s="34">
        <f t="shared" si="15"/>
        <v>731456533.01000011</v>
      </c>
      <c r="AM8" s="34">
        <v>672735895.22000003</v>
      </c>
      <c r="AN8" s="66"/>
      <c r="AO8" s="53">
        <f t="shared" si="16"/>
        <v>0.3837638376383764</v>
      </c>
      <c r="AP8" s="33">
        <v>328</v>
      </c>
      <c r="AQ8" s="33">
        <v>82</v>
      </c>
      <c r="AR8" s="33">
        <f t="shared" si="17"/>
        <v>542</v>
      </c>
      <c r="AS8" s="33">
        <v>208</v>
      </c>
      <c r="AT8" s="33">
        <f t="shared" si="18"/>
        <v>334</v>
      </c>
      <c r="AU8" s="68"/>
      <c r="AV8" s="74" t="s">
        <v>267</v>
      </c>
      <c r="AW8" s="62" t="s">
        <v>66</v>
      </c>
      <c r="AX8" s="55">
        <v>44728</v>
      </c>
      <c r="AY8" s="56">
        <v>1352</v>
      </c>
      <c r="AZ8" s="57">
        <v>0</v>
      </c>
    </row>
    <row r="9" spans="1:52" s="58" customFormat="1" ht="45">
      <c r="A9" s="30">
        <v>8</v>
      </c>
      <c r="B9" s="30" t="s">
        <v>28</v>
      </c>
      <c r="C9" s="30" t="s">
        <v>29</v>
      </c>
      <c r="D9" s="30" t="s">
        <v>30</v>
      </c>
      <c r="E9" s="66"/>
      <c r="F9" s="30" t="s">
        <v>67</v>
      </c>
      <c r="G9" s="30" t="s">
        <v>68</v>
      </c>
      <c r="H9" s="30" t="s">
        <v>33</v>
      </c>
      <c r="I9" s="34" t="s">
        <v>69</v>
      </c>
      <c r="J9" s="50">
        <v>44551</v>
      </c>
      <c r="K9" s="30" t="s">
        <v>70</v>
      </c>
      <c r="L9" s="34">
        <v>1228021054.039</v>
      </c>
      <c r="M9" s="66"/>
      <c r="N9" s="34">
        <f t="shared" si="10"/>
        <v>1617.2436623589999</v>
      </c>
      <c r="O9" s="34">
        <v>0</v>
      </c>
      <c r="P9" s="34">
        <f t="shared" si="12"/>
        <v>0</v>
      </c>
      <c r="Q9" s="34">
        <v>0</v>
      </c>
      <c r="R9" s="31">
        <f t="shared" si="0"/>
        <v>0</v>
      </c>
      <c r="S9" s="31">
        <f t="shared" si="19"/>
        <v>0</v>
      </c>
      <c r="T9" s="31">
        <f t="shared" si="2"/>
        <v>0</v>
      </c>
      <c r="U9" s="32">
        <f t="shared" si="3"/>
        <v>0</v>
      </c>
      <c r="V9" s="32">
        <f t="shared" si="4"/>
        <v>0</v>
      </c>
      <c r="W9" s="31">
        <v>0</v>
      </c>
      <c r="X9" s="31">
        <v>0</v>
      </c>
      <c r="Y9" s="33">
        <v>0</v>
      </c>
      <c r="Z9" s="33">
        <v>0</v>
      </c>
      <c r="AA9" s="33">
        <f t="shared" si="9"/>
        <v>1</v>
      </c>
      <c r="AB9" s="33">
        <v>0</v>
      </c>
      <c r="AC9" s="66"/>
      <c r="AD9" s="50">
        <v>44582</v>
      </c>
      <c r="AE9" s="51">
        <v>250</v>
      </c>
      <c r="AF9" s="52">
        <v>45324</v>
      </c>
      <c r="AG9" s="30" t="s">
        <v>60</v>
      </c>
      <c r="AH9" s="66"/>
      <c r="AI9" s="34">
        <v>389222608.31999999</v>
      </c>
      <c r="AJ9" s="34">
        <f t="shared" si="14"/>
        <v>1617243662.359</v>
      </c>
      <c r="AK9" s="34">
        <v>0</v>
      </c>
      <c r="AL9" s="34">
        <f t="shared" si="15"/>
        <v>1617243662.359</v>
      </c>
      <c r="AM9" s="34">
        <v>0</v>
      </c>
      <c r="AN9" s="66"/>
      <c r="AO9" s="53">
        <f t="shared" si="16"/>
        <v>4.5584045584045586E-2</v>
      </c>
      <c r="AP9" s="33">
        <v>31</v>
      </c>
      <c r="AQ9" s="33">
        <v>70</v>
      </c>
      <c r="AR9" s="33">
        <f t="shared" si="17"/>
        <v>351</v>
      </c>
      <c r="AS9" s="33">
        <v>16</v>
      </c>
      <c r="AT9" s="33">
        <f t="shared" si="18"/>
        <v>335</v>
      </c>
      <c r="AU9" s="68"/>
      <c r="AV9" s="74" t="s">
        <v>301</v>
      </c>
      <c r="AW9" s="54" t="s">
        <v>72</v>
      </c>
      <c r="AX9" s="55">
        <v>44910</v>
      </c>
      <c r="AY9" s="56">
        <v>356</v>
      </c>
      <c r="AZ9" s="57">
        <v>0</v>
      </c>
    </row>
    <row r="10" spans="1:52" s="58" customFormat="1" ht="150">
      <c r="A10" s="30">
        <v>9</v>
      </c>
      <c r="B10" s="30" t="s">
        <v>28</v>
      </c>
      <c r="C10" s="30" t="s">
        <v>29</v>
      </c>
      <c r="D10" s="30" t="s">
        <v>30</v>
      </c>
      <c r="E10" s="66"/>
      <c r="F10" s="30" t="s">
        <v>73</v>
      </c>
      <c r="G10" s="30" t="s">
        <v>74</v>
      </c>
      <c r="H10" s="30" t="s">
        <v>33</v>
      </c>
      <c r="I10" s="34" t="s">
        <v>75</v>
      </c>
      <c r="J10" s="50">
        <v>41689</v>
      </c>
      <c r="K10" s="30" t="s">
        <v>41</v>
      </c>
      <c r="L10" s="34">
        <v>1657975496.53</v>
      </c>
      <c r="M10" s="66"/>
      <c r="N10" s="34">
        <f t="shared" si="10"/>
        <v>1702.45146226</v>
      </c>
      <c r="O10" s="34">
        <v>0</v>
      </c>
      <c r="P10" s="34">
        <f t="shared" si="12"/>
        <v>0</v>
      </c>
      <c r="Q10" s="34">
        <v>0</v>
      </c>
      <c r="R10" s="31">
        <f t="shared" si="0"/>
        <v>0</v>
      </c>
      <c r="S10" s="31">
        <f t="shared" si="19"/>
        <v>0</v>
      </c>
      <c r="T10" s="31">
        <f t="shared" si="2"/>
        <v>0</v>
      </c>
      <c r="U10" s="32">
        <f t="shared" si="3"/>
        <v>0</v>
      </c>
      <c r="V10" s="32">
        <f t="shared" si="4"/>
        <v>0</v>
      </c>
      <c r="W10" s="31">
        <v>0</v>
      </c>
      <c r="X10" s="31">
        <v>0</v>
      </c>
      <c r="Y10" s="33">
        <v>0</v>
      </c>
      <c r="Z10" s="33">
        <v>0</v>
      </c>
      <c r="AA10" s="33">
        <f t="shared" si="9"/>
        <v>1</v>
      </c>
      <c r="AB10" s="33">
        <v>0</v>
      </c>
      <c r="AC10" s="66"/>
      <c r="AD10" s="50" t="s">
        <v>76</v>
      </c>
      <c r="AE10" s="51">
        <v>450</v>
      </c>
      <c r="AF10" s="50">
        <v>45584</v>
      </c>
      <c r="AG10" s="30" t="s">
        <v>158</v>
      </c>
      <c r="AH10" s="66"/>
      <c r="AI10" s="34">
        <v>44475965.729999997</v>
      </c>
      <c r="AJ10" s="34">
        <f t="shared" si="14"/>
        <v>1702451462.26</v>
      </c>
      <c r="AK10" s="34">
        <v>0</v>
      </c>
      <c r="AL10" s="34">
        <f t="shared" si="15"/>
        <v>1702451462.26</v>
      </c>
      <c r="AM10" s="34">
        <v>0</v>
      </c>
      <c r="AN10" s="66"/>
      <c r="AO10" s="53">
        <f t="shared" si="16"/>
        <v>0</v>
      </c>
      <c r="AP10" s="33">
        <v>0</v>
      </c>
      <c r="AQ10" s="33">
        <v>0</v>
      </c>
      <c r="AR10" s="33">
        <f t="shared" si="17"/>
        <v>450</v>
      </c>
      <c r="AS10" s="33">
        <v>0</v>
      </c>
      <c r="AT10" s="33">
        <f t="shared" si="18"/>
        <v>450</v>
      </c>
      <c r="AU10" s="68"/>
      <c r="AV10" s="74" t="s">
        <v>309</v>
      </c>
      <c r="AW10" s="54" t="s">
        <v>77</v>
      </c>
      <c r="AX10" s="59" t="s">
        <v>253</v>
      </c>
      <c r="AY10" s="61" t="s">
        <v>253</v>
      </c>
      <c r="AZ10" s="57">
        <v>0</v>
      </c>
    </row>
    <row r="11" spans="1:52" s="58" customFormat="1" ht="241.5" customHeight="1">
      <c r="A11" s="30">
        <v>10</v>
      </c>
      <c r="B11" s="30" t="s">
        <v>28</v>
      </c>
      <c r="C11" s="30" t="s">
        <v>29</v>
      </c>
      <c r="D11" s="30" t="s">
        <v>30</v>
      </c>
      <c r="E11" s="66"/>
      <c r="F11" s="30" t="s">
        <v>78</v>
      </c>
      <c r="G11" s="30" t="s">
        <v>79</v>
      </c>
      <c r="H11" s="30" t="s">
        <v>33</v>
      </c>
      <c r="I11" s="34" t="s">
        <v>80</v>
      </c>
      <c r="J11" s="50">
        <v>44819</v>
      </c>
      <c r="K11" s="30" t="s">
        <v>81</v>
      </c>
      <c r="L11" s="34">
        <v>1351479212.46</v>
      </c>
      <c r="M11" s="66"/>
      <c r="N11" s="34">
        <f t="shared" si="10"/>
        <v>1351.4792124600001</v>
      </c>
      <c r="O11" s="34">
        <v>0</v>
      </c>
      <c r="P11" s="34">
        <f t="shared" si="12"/>
        <v>0</v>
      </c>
      <c r="Q11" s="34">
        <v>0</v>
      </c>
      <c r="R11" s="31">
        <f t="shared" si="0"/>
        <v>0</v>
      </c>
      <c r="S11" s="31">
        <f t="shared" si="19"/>
        <v>0</v>
      </c>
      <c r="T11" s="31">
        <f t="shared" si="2"/>
        <v>0</v>
      </c>
      <c r="U11" s="32">
        <f t="shared" si="3"/>
        <v>0</v>
      </c>
      <c r="V11" s="32">
        <f t="shared" si="4"/>
        <v>0</v>
      </c>
      <c r="W11" s="31">
        <v>0</v>
      </c>
      <c r="X11" s="31">
        <v>0</v>
      </c>
      <c r="Y11" s="33">
        <v>0</v>
      </c>
      <c r="Z11" s="33">
        <v>0</v>
      </c>
      <c r="AA11" s="33">
        <v>0</v>
      </c>
      <c r="AB11" s="33">
        <v>0</v>
      </c>
      <c r="AC11" s="66"/>
      <c r="AD11" s="50">
        <v>44251</v>
      </c>
      <c r="AE11" s="51">
        <v>179</v>
      </c>
      <c r="AF11" s="52" t="s">
        <v>93</v>
      </c>
      <c r="AG11" s="30" t="s">
        <v>71</v>
      </c>
      <c r="AH11" s="66"/>
      <c r="AI11" s="34">
        <v>0</v>
      </c>
      <c r="AJ11" s="34">
        <f t="shared" si="14"/>
        <v>1351479212.46</v>
      </c>
      <c r="AK11" s="34">
        <v>0</v>
      </c>
      <c r="AL11" s="34">
        <f t="shared" si="15"/>
        <v>1351479212.46</v>
      </c>
      <c r="AM11" s="34">
        <v>0</v>
      </c>
      <c r="AN11" s="66"/>
      <c r="AO11" s="53">
        <f t="shared" si="16"/>
        <v>0</v>
      </c>
      <c r="AP11" s="33">
        <v>0</v>
      </c>
      <c r="AQ11" s="33">
        <v>0</v>
      </c>
      <c r="AR11" s="33">
        <f t="shared" si="17"/>
        <v>179</v>
      </c>
      <c r="AS11" s="33">
        <v>0</v>
      </c>
      <c r="AT11" s="33">
        <f t="shared" si="18"/>
        <v>179</v>
      </c>
      <c r="AU11" s="68"/>
      <c r="AV11" s="74" t="s">
        <v>310</v>
      </c>
      <c r="AW11" s="54" t="s">
        <v>82</v>
      </c>
      <c r="AX11" s="55">
        <v>44981</v>
      </c>
      <c r="AY11" s="56">
        <v>870</v>
      </c>
      <c r="AZ11" s="57">
        <v>0</v>
      </c>
    </row>
    <row r="12" spans="1:52" s="58" customFormat="1" ht="196.5" customHeight="1">
      <c r="A12" s="30">
        <v>11</v>
      </c>
      <c r="B12" s="30" t="s">
        <v>28</v>
      </c>
      <c r="C12" s="30" t="s">
        <v>29</v>
      </c>
      <c r="D12" s="30" t="s">
        <v>30</v>
      </c>
      <c r="E12" s="66"/>
      <c r="F12" s="30" t="s">
        <v>83</v>
      </c>
      <c r="G12" s="30" t="s">
        <v>84</v>
      </c>
      <c r="H12" s="30" t="s">
        <v>33</v>
      </c>
      <c r="I12" s="34" t="s">
        <v>85</v>
      </c>
      <c r="J12" s="50">
        <v>42815</v>
      </c>
      <c r="K12" s="30" t="s">
        <v>41</v>
      </c>
      <c r="L12" s="34">
        <v>761764259.91999996</v>
      </c>
      <c r="M12" s="66"/>
      <c r="N12" s="34">
        <f t="shared" si="10"/>
        <v>951.06594484999994</v>
      </c>
      <c r="O12" s="34">
        <f t="shared" si="11"/>
        <v>951.06594484999994</v>
      </c>
      <c r="P12" s="34">
        <f t="shared" si="12"/>
        <v>700.20664482000007</v>
      </c>
      <c r="Q12" s="34">
        <f>700206644.82/1000000</f>
        <v>700.20664482000007</v>
      </c>
      <c r="R12" s="31">
        <f t="shared" si="0"/>
        <v>1</v>
      </c>
      <c r="S12" s="31">
        <f t="shared" si="19"/>
        <v>0.7362335373394483</v>
      </c>
      <c r="T12" s="31">
        <f t="shared" si="2"/>
        <v>0.7362335373394483</v>
      </c>
      <c r="U12" s="32">
        <f t="shared" si="3"/>
        <v>-250.85930002999987</v>
      </c>
      <c r="V12" s="32">
        <f t="shared" si="4"/>
        <v>0</v>
      </c>
      <c r="W12" s="31">
        <f t="shared" si="5"/>
        <v>-0.26376646266055176</v>
      </c>
      <c r="X12" s="31">
        <f t="shared" si="6"/>
        <v>0</v>
      </c>
      <c r="Y12" s="33">
        <f t="shared" si="7"/>
        <v>0.7362335373394483</v>
      </c>
      <c r="Z12" s="33">
        <f t="shared" si="8"/>
        <v>1</v>
      </c>
      <c r="AA12" s="33">
        <f t="shared" si="9"/>
        <v>1</v>
      </c>
      <c r="AB12" s="33">
        <f t="shared" si="13"/>
        <v>345.73969996267761</v>
      </c>
      <c r="AC12" s="66"/>
      <c r="AD12" s="50">
        <v>42982</v>
      </c>
      <c r="AE12" s="51">
        <v>150</v>
      </c>
      <c r="AF12" s="52">
        <v>45028</v>
      </c>
      <c r="AG12" s="30" t="s">
        <v>296</v>
      </c>
      <c r="AH12" s="66"/>
      <c r="AI12" s="34">
        <v>189301684.93000001</v>
      </c>
      <c r="AJ12" s="34">
        <f t="shared" si="14"/>
        <v>951065944.8499999</v>
      </c>
      <c r="AK12" s="34">
        <v>46959245.130000003</v>
      </c>
      <c r="AL12" s="34">
        <f t="shared" si="15"/>
        <v>998025189.9799999</v>
      </c>
      <c r="AM12" s="34">
        <v>700206644.82000005</v>
      </c>
      <c r="AN12" s="66"/>
      <c r="AO12" s="53">
        <f t="shared" si="16"/>
        <v>0.56195965417867433</v>
      </c>
      <c r="AP12" s="33">
        <v>142</v>
      </c>
      <c r="AQ12" s="33">
        <v>55</v>
      </c>
      <c r="AR12" s="33">
        <f t="shared" si="17"/>
        <v>347</v>
      </c>
      <c r="AS12" s="33">
        <v>195</v>
      </c>
      <c r="AT12" s="33">
        <f t="shared" si="18"/>
        <v>152</v>
      </c>
      <c r="AU12" s="68"/>
      <c r="AV12" s="74" t="s">
        <v>311</v>
      </c>
      <c r="AW12" s="54" t="s">
        <v>86</v>
      </c>
      <c r="AX12" s="55">
        <v>45019</v>
      </c>
      <c r="AY12" s="56">
        <v>1700</v>
      </c>
      <c r="AZ12" s="57">
        <v>4565485.25</v>
      </c>
    </row>
    <row r="13" spans="1:52" s="58" customFormat="1" ht="318" customHeight="1">
      <c r="A13" s="30">
        <v>12</v>
      </c>
      <c r="B13" s="30" t="s">
        <v>28</v>
      </c>
      <c r="C13" s="30" t="s">
        <v>29</v>
      </c>
      <c r="D13" s="30" t="s">
        <v>30</v>
      </c>
      <c r="E13" s="66"/>
      <c r="F13" s="30" t="s">
        <v>87</v>
      </c>
      <c r="G13" s="30" t="s">
        <v>88</v>
      </c>
      <c r="H13" s="30" t="s">
        <v>33</v>
      </c>
      <c r="I13" s="34" t="s">
        <v>89</v>
      </c>
      <c r="J13" s="50">
        <v>41484</v>
      </c>
      <c r="K13" s="30" t="s">
        <v>41</v>
      </c>
      <c r="L13" s="34">
        <v>930192988.98000002</v>
      </c>
      <c r="M13" s="66"/>
      <c r="N13" s="34">
        <f t="shared" si="10"/>
        <v>1021.12200898</v>
      </c>
      <c r="O13" s="34">
        <v>582.71</v>
      </c>
      <c r="P13" s="34">
        <f t="shared" si="12"/>
        <v>582.70649378999997</v>
      </c>
      <c r="Q13" s="34">
        <f>582706493.79/1000000</f>
        <v>582.70649378999997</v>
      </c>
      <c r="R13" s="31">
        <f t="shared" si="0"/>
        <v>0.57065658645637241</v>
      </c>
      <c r="S13" s="31">
        <f t="shared" si="19"/>
        <v>0.57065315277267026</v>
      </c>
      <c r="T13" s="31">
        <f t="shared" si="2"/>
        <v>0.57065315277267026</v>
      </c>
      <c r="U13" s="32">
        <f t="shared" si="3"/>
        <v>-3.5062100000686769E-3</v>
      </c>
      <c r="V13" s="32">
        <f t="shared" si="4"/>
        <v>0</v>
      </c>
      <c r="W13" s="31">
        <f t="shared" si="5"/>
        <v>-6.0170753892479561E-6</v>
      </c>
      <c r="X13" s="31">
        <f t="shared" si="6"/>
        <v>0</v>
      </c>
      <c r="Y13" s="33">
        <f t="shared" si="7"/>
        <v>0.99999398292461072</v>
      </c>
      <c r="Z13" s="33">
        <f t="shared" si="8"/>
        <v>1</v>
      </c>
      <c r="AA13" s="33">
        <f t="shared" si="9"/>
        <v>1</v>
      </c>
      <c r="AB13" s="33">
        <f t="shared" si="13"/>
        <v>397.00120342231889</v>
      </c>
      <c r="AC13" s="66"/>
      <c r="AD13" s="50">
        <v>41593</v>
      </c>
      <c r="AE13" s="51">
        <v>200</v>
      </c>
      <c r="AF13" s="30" t="s">
        <v>93</v>
      </c>
      <c r="AG13" s="30" t="s">
        <v>71</v>
      </c>
      <c r="AH13" s="66"/>
      <c r="AI13" s="34">
        <v>90929020</v>
      </c>
      <c r="AJ13" s="34">
        <f t="shared" si="14"/>
        <v>1021122008.98</v>
      </c>
      <c r="AK13" s="34">
        <v>16140386</v>
      </c>
      <c r="AL13" s="34">
        <f t="shared" si="15"/>
        <v>1037262394.98</v>
      </c>
      <c r="AM13" s="34">
        <v>582706493.78999996</v>
      </c>
      <c r="AN13" s="66"/>
      <c r="AO13" s="53">
        <f t="shared" si="16"/>
        <v>0.14932126696832579</v>
      </c>
      <c r="AP13" s="33">
        <v>197</v>
      </c>
      <c r="AQ13" s="33">
        <v>45</v>
      </c>
      <c r="AR13" s="33">
        <f t="shared" si="17"/>
        <v>442</v>
      </c>
      <c r="AS13" s="33">
        <v>66</v>
      </c>
      <c r="AT13" s="33">
        <f t="shared" si="18"/>
        <v>376</v>
      </c>
      <c r="AU13" s="68"/>
      <c r="AV13" s="74" t="s">
        <v>315</v>
      </c>
      <c r="AW13" s="62" t="s">
        <v>90</v>
      </c>
      <c r="AX13" s="59">
        <v>41597</v>
      </c>
      <c r="AY13" s="61">
        <v>3495</v>
      </c>
      <c r="AZ13" s="57">
        <v>0</v>
      </c>
    </row>
    <row r="14" spans="1:52" s="58" customFormat="1" ht="360">
      <c r="A14" s="30">
        <v>13</v>
      </c>
      <c r="B14" s="30" t="s">
        <v>28</v>
      </c>
      <c r="C14" s="30" t="s">
        <v>29</v>
      </c>
      <c r="D14" s="30" t="s">
        <v>30</v>
      </c>
      <c r="E14" s="66"/>
      <c r="F14" s="30" t="s">
        <v>91</v>
      </c>
      <c r="G14" s="30" t="s">
        <v>92</v>
      </c>
      <c r="H14" s="30" t="s">
        <v>33</v>
      </c>
      <c r="I14" s="34" t="s">
        <v>34</v>
      </c>
      <c r="J14" s="50">
        <v>44145</v>
      </c>
      <c r="K14" s="30" t="s">
        <v>59</v>
      </c>
      <c r="L14" s="34">
        <v>481417997.85500002</v>
      </c>
      <c r="M14" s="66"/>
      <c r="N14" s="34">
        <f t="shared" si="10"/>
        <v>481.41799785500001</v>
      </c>
      <c r="O14" s="34">
        <v>0</v>
      </c>
      <c r="P14" s="34">
        <f t="shared" si="12"/>
        <v>0</v>
      </c>
      <c r="Q14" s="34">
        <f t="shared" ref="Q14:Q24" si="20">0/1000000</f>
        <v>0</v>
      </c>
      <c r="R14" s="31">
        <f t="shared" si="0"/>
        <v>0</v>
      </c>
      <c r="S14" s="31">
        <f t="shared" si="19"/>
        <v>0</v>
      </c>
      <c r="T14" s="31">
        <f t="shared" si="2"/>
        <v>0</v>
      </c>
      <c r="U14" s="32">
        <f t="shared" si="3"/>
        <v>0</v>
      </c>
      <c r="V14" s="32">
        <f t="shared" si="4"/>
        <v>0</v>
      </c>
      <c r="W14" s="31">
        <v>0</v>
      </c>
      <c r="X14" s="31">
        <v>0</v>
      </c>
      <c r="Y14" s="33">
        <v>0</v>
      </c>
      <c r="Z14" s="33">
        <v>0</v>
      </c>
      <c r="AA14" s="33">
        <v>0</v>
      </c>
      <c r="AB14" s="33">
        <v>0</v>
      </c>
      <c r="AC14" s="66"/>
      <c r="AD14" s="50">
        <v>44200</v>
      </c>
      <c r="AE14" s="51">
        <v>120</v>
      </c>
      <c r="AF14" s="30" t="s">
        <v>297</v>
      </c>
      <c r="AG14" s="30" t="s">
        <v>71</v>
      </c>
      <c r="AH14" s="66"/>
      <c r="AI14" s="34">
        <v>0</v>
      </c>
      <c r="AJ14" s="34">
        <f t="shared" si="14"/>
        <v>481417997.85500002</v>
      </c>
      <c r="AK14" s="34">
        <v>0</v>
      </c>
      <c r="AL14" s="34">
        <f t="shared" si="15"/>
        <v>481417997.85500002</v>
      </c>
      <c r="AM14" s="34">
        <v>0</v>
      </c>
      <c r="AN14" s="66"/>
      <c r="AO14" s="53">
        <f t="shared" si="16"/>
        <v>0</v>
      </c>
      <c r="AP14" s="33">
        <v>0</v>
      </c>
      <c r="AQ14" s="33">
        <v>0</v>
      </c>
      <c r="AR14" s="33">
        <f t="shared" si="17"/>
        <v>120</v>
      </c>
      <c r="AS14" s="33">
        <v>0</v>
      </c>
      <c r="AT14" s="33">
        <f t="shared" si="18"/>
        <v>120</v>
      </c>
      <c r="AU14" s="68"/>
      <c r="AV14" s="74" t="s">
        <v>312</v>
      </c>
      <c r="AW14" s="54" t="s">
        <v>94</v>
      </c>
      <c r="AX14" s="55">
        <v>44200</v>
      </c>
      <c r="AY14" s="56">
        <v>892</v>
      </c>
      <c r="AZ14" s="57">
        <v>0</v>
      </c>
    </row>
    <row r="15" spans="1:52" s="58" customFormat="1" ht="150">
      <c r="A15" s="30">
        <v>14</v>
      </c>
      <c r="B15" s="30" t="s">
        <v>28</v>
      </c>
      <c r="C15" s="30" t="s">
        <v>29</v>
      </c>
      <c r="D15" s="30" t="s">
        <v>30</v>
      </c>
      <c r="E15" s="66"/>
      <c r="F15" s="30" t="s">
        <v>95</v>
      </c>
      <c r="G15" s="30" t="s">
        <v>96</v>
      </c>
      <c r="H15" s="30" t="s">
        <v>33</v>
      </c>
      <c r="I15" s="34" t="s">
        <v>97</v>
      </c>
      <c r="J15" s="50">
        <v>44057</v>
      </c>
      <c r="K15" s="30" t="s">
        <v>59</v>
      </c>
      <c r="L15" s="34">
        <v>940552331.32000005</v>
      </c>
      <c r="M15" s="66"/>
      <c r="N15" s="34">
        <f t="shared" si="10"/>
        <v>940.55233132000001</v>
      </c>
      <c r="O15" s="34">
        <v>0</v>
      </c>
      <c r="P15" s="34">
        <f t="shared" si="12"/>
        <v>3.66174059</v>
      </c>
      <c r="Q15" s="34">
        <f t="shared" si="20"/>
        <v>0</v>
      </c>
      <c r="R15" s="31">
        <f t="shared" si="0"/>
        <v>0</v>
      </c>
      <c r="S15" s="31">
        <f t="shared" si="19"/>
        <v>0</v>
      </c>
      <c r="T15" s="31">
        <f t="shared" si="2"/>
        <v>3.8931811320492937E-3</v>
      </c>
      <c r="U15" s="32">
        <f t="shared" si="3"/>
        <v>0</v>
      </c>
      <c r="V15" s="32">
        <f t="shared" si="4"/>
        <v>-3.66174059</v>
      </c>
      <c r="W15" s="31">
        <v>0</v>
      </c>
      <c r="X15" s="31">
        <v>0</v>
      </c>
      <c r="Y15" s="33">
        <v>0</v>
      </c>
      <c r="Z15" s="33">
        <v>0</v>
      </c>
      <c r="AA15" s="33">
        <f t="shared" si="9"/>
        <v>1.0039083972304033</v>
      </c>
      <c r="AB15" s="33">
        <v>0</v>
      </c>
      <c r="AC15" s="66"/>
      <c r="AD15" s="50">
        <v>44078</v>
      </c>
      <c r="AE15" s="51">
        <v>180</v>
      </c>
      <c r="AF15" s="30" t="s">
        <v>297</v>
      </c>
      <c r="AG15" s="30" t="s">
        <v>71</v>
      </c>
      <c r="AH15" s="66"/>
      <c r="AI15" s="34">
        <v>0</v>
      </c>
      <c r="AJ15" s="34">
        <f t="shared" si="14"/>
        <v>940552331.32000005</v>
      </c>
      <c r="AK15" s="34">
        <v>0</v>
      </c>
      <c r="AL15" s="34">
        <f t="shared" si="15"/>
        <v>940552331.32000005</v>
      </c>
      <c r="AM15" s="34">
        <v>3661740.59</v>
      </c>
      <c r="AN15" s="66"/>
      <c r="AO15" s="53">
        <f t="shared" si="16"/>
        <v>1.1111111111111112E-2</v>
      </c>
      <c r="AP15" s="33">
        <v>0</v>
      </c>
      <c r="AQ15" s="33">
        <v>0</v>
      </c>
      <c r="AR15" s="33">
        <f t="shared" si="17"/>
        <v>180</v>
      </c>
      <c r="AS15" s="33">
        <v>2</v>
      </c>
      <c r="AT15" s="33">
        <f t="shared" si="18"/>
        <v>178</v>
      </c>
      <c r="AU15" s="68"/>
      <c r="AV15" s="74" t="s">
        <v>302</v>
      </c>
      <c r="AW15" s="62" t="s">
        <v>98</v>
      </c>
      <c r="AX15" s="55">
        <v>44841</v>
      </c>
      <c r="AY15" s="56">
        <v>998</v>
      </c>
      <c r="AZ15" s="57">
        <v>0</v>
      </c>
    </row>
    <row r="16" spans="1:52" s="58" customFormat="1" ht="242.25" customHeight="1">
      <c r="A16" s="30">
        <v>15</v>
      </c>
      <c r="B16" s="30" t="s">
        <v>28</v>
      </c>
      <c r="C16" s="30" t="s">
        <v>29</v>
      </c>
      <c r="D16" s="30" t="s">
        <v>30</v>
      </c>
      <c r="E16" s="66"/>
      <c r="F16" s="30" t="s">
        <v>99</v>
      </c>
      <c r="G16" s="30" t="s">
        <v>100</v>
      </c>
      <c r="H16" s="30" t="s">
        <v>33</v>
      </c>
      <c r="I16" s="34" t="s">
        <v>101</v>
      </c>
      <c r="J16" s="50">
        <v>43559</v>
      </c>
      <c r="K16" s="30" t="s">
        <v>102</v>
      </c>
      <c r="L16" s="34">
        <v>357976911.93000001</v>
      </c>
      <c r="M16" s="66"/>
      <c r="N16" s="34">
        <f t="shared" si="10"/>
        <v>357.97691193000003</v>
      </c>
      <c r="O16" s="34">
        <v>0</v>
      </c>
      <c r="P16" s="34">
        <f t="shared" si="12"/>
        <v>0</v>
      </c>
      <c r="Q16" s="34">
        <f t="shared" si="20"/>
        <v>0</v>
      </c>
      <c r="R16" s="31">
        <f t="shared" si="0"/>
        <v>0</v>
      </c>
      <c r="S16" s="31">
        <f t="shared" si="19"/>
        <v>0</v>
      </c>
      <c r="T16" s="31">
        <f t="shared" si="2"/>
        <v>0</v>
      </c>
      <c r="U16" s="32">
        <f t="shared" si="3"/>
        <v>0</v>
      </c>
      <c r="V16" s="32">
        <f t="shared" si="4"/>
        <v>0</v>
      </c>
      <c r="W16" s="31">
        <v>0</v>
      </c>
      <c r="X16" s="31">
        <v>0</v>
      </c>
      <c r="Y16" s="33">
        <v>0</v>
      </c>
      <c r="Z16" s="33">
        <v>0</v>
      </c>
      <c r="AA16" s="33">
        <f t="shared" si="9"/>
        <v>1</v>
      </c>
      <c r="AB16" s="33">
        <v>0</v>
      </c>
      <c r="AC16" s="66"/>
      <c r="AD16" s="50">
        <v>43598</v>
      </c>
      <c r="AE16" s="51">
        <v>75</v>
      </c>
      <c r="AF16" s="30" t="s">
        <v>297</v>
      </c>
      <c r="AG16" s="30" t="s">
        <v>71</v>
      </c>
      <c r="AH16" s="66"/>
      <c r="AI16" s="34">
        <v>0</v>
      </c>
      <c r="AJ16" s="34">
        <f t="shared" si="14"/>
        <v>357976911.93000001</v>
      </c>
      <c r="AK16" s="34">
        <v>0</v>
      </c>
      <c r="AL16" s="34">
        <f t="shared" si="15"/>
        <v>357976911.93000001</v>
      </c>
      <c r="AM16" s="34">
        <v>0</v>
      </c>
      <c r="AN16" s="66"/>
      <c r="AO16" s="53">
        <f t="shared" si="16"/>
        <v>0</v>
      </c>
      <c r="AP16" s="33">
        <v>0</v>
      </c>
      <c r="AQ16" s="33">
        <v>0</v>
      </c>
      <c r="AR16" s="33">
        <f t="shared" si="17"/>
        <v>75</v>
      </c>
      <c r="AS16" s="33">
        <v>0</v>
      </c>
      <c r="AT16" s="33">
        <f t="shared" si="18"/>
        <v>75</v>
      </c>
      <c r="AU16" s="68"/>
      <c r="AV16" s="74" t="s">
        <v>313</v>
      </c>
      <c r="AW16" s="54" t="s">
        <v>103</v>
      </c>
      <c r="AX16" s="55">
        <v>43598</v>
      </c>
      <c r="AY16" s="56">
        <v>1494</v>
      </c>
      <c r="AZ16" s="57">
        <v>0</v>
      </c>
    </row>
    <row r="17" spans="1:52" s="58" customFormat="1" ht="294.75" customHeight="1">
      <c r="A17" s="30">
        <v>16</v>
      </c>
      <c r="B17" s="30" t="s">
        <v>28</v>
      </c>
      <c r="C17" s="30" t="s">
        <v>29</v>
      </c>
      <c r="D17" s="30" t="s">
        <v>30</v>
      </c>
      <c r="E17" s="66"/>
      <c r="F17" s="30" t="s">
        <v>104</v>
      </c>
      <c r="G17" s="30" t="s">
        <v>105</v>
      </c>
      <c r="H17" s="30" t="s">
        <v>33</v>
      </c>
      <c r="I17" s="34" t="s">
        <v>106</v>
      </c>
      <c r="J17" s="50">
        <v>44502</v>
      </c>
      <c r="K17" s="30" t="s">
        <v>107</v>
      </c>
      <c r="L17" s="34">
        <v>2870041740.04</v>
      </c>
      <c r="M17" s="66"/>
      <c r="N17" s="34">
        <f t="shared" si="10"/>
        <v>2870.0417400400001</v>
      </c>
      <c r="O17" s="34">
        <v>0</v>
      </c>
      <c r="P17" s="34">
        <f t="shared" si="12"/>
        <v>0</v>
      </c>
      <c r="Q17" s="34">
        <f t="shared" si="20"/>
        <v>0</v>
      </c>
      <c r="R17" s="31">
        <f t="shared" si="0"/>
        <v>0</v>
      </c>
      <c r="S17" s="31">
        <f t="shared" si="19"/>
        <v>0</v>
      </c>
      <c r="T17" s="31">
        <f t="shared" si="2"/>
        <v>0</v>
      </c>
      <c r="U17" s="32">
        <f t="shared" si="3"/>
        <v>0</v>
      </c>
      <c r="V17" s="32">
        <f t="shared" si="4"/>
        <v>0</v>
      </c>
      <c r="W17" s="31">
        <v>0</v>
      </c>
      <c r="X17" s="31">
        <v>0</v>
      </c>
      <c r="Y17" s="33">
        <v>0</v>
      </c>
      <c r="Z17" s="33">
        <v>0</v>
      </c>
      <c r="AA17" s="33">
        <v>0</v>
      </c>
      <c r="AB17" s="33">
        <v>0</v>
      </c>
      <c r="AC17" s="66"/>
      <c r="AD17" s="50">
        <v>44578</v>
      </c>
      <c r="AE17" s="51">
        <v>330</v>
      </c>
      <c r="AF17" s="52" t="s">
        <v>297</v>
      </c>
      <c r="AG17" s="30" t="s">
        <v>71</v>
      </c>
      <c r="AH17" s="66"/>
      <c r="AI17" s="34">
        <v>0</v>
      </c>
      <c r="AJ17" s="34">
        <f t="shared" si="14"/>
        <v>2870041740.04</v>
      </c>
      <c r="AK17" s="34">
        <v>0</v>
      </c>
      <c r="AL17" s="34">
        <f t="shared" si="15"/>
        <v>2870041740.04</v>
      </c>
      <c r="AM17" s="34">
        <v>0</v>
      </c>
      <c r="AN17" s="66"/>
      <c r="AO17" s="53">
        <f t="shared" si="16"/>
        <v>0</v>
      </c>
      <c r="AP17" s="33">
        <v>0</v>
      </c>
      <c r="AQ17" s="33">
        <v>0</v>
      </c>
      <c r="AR17" s="33">
        <f t="shared" si="17"/>
        <v>330</v>
      </c>
      <c r="AS17" s="33">
        <v>0</v>
      </c>
      <c r="AT17" s="33">
        <f t="shared" si="18"/>
        <v>330</v>
      </c>
      <c r="AU17" s="68"/>
      <c r="AV17" s="75" t="s">
        <v>314</v>
      </c>
      <c r="AW17" s="54" t="s">
        <v>108</v>
      </c>
      <c r="AX17" s="55">
        <v>44938</v>
      </c>
      <c r="AY17" s="56">
        <v>480</v>
      </c>
      <c r="AZ17" s="57">
        <v>0</v>
      </c>
    </row>
    <row r="18" spans="1:52" s="58" customFormat="1" ht="60">
      <c r="A18" s="30">
        <v>17</v>
      </c>
      <c r="B18" s="30" t="s">
        <v>28</v>
      </c>
      <c r="C18" s="30" t="s">
        <v>29</v>
      </c>
      <c r="D18" s="30" t="s">
        <v>30</v>
      </c>
      <c r="E18" s="66"/>
      <c r="F18" s="30" t="s">
        <v>76</v>
      </c>
      <c r="G18" s="30" t="s">
        <v>109</v>
      </c>
      <c r="H18" s="30" t="s">
        <v>33</v>
      </c>
      <c r="I18" s="34" t="s">
        <v>89</v>
      </c>
      <c r="J18" s="50" t="s">
        <v>93</v>
      </c>
      <c r="K18" s="30" t="s">
        <v>41</v>
      </c>
      <c r="L18" s="34">
        <v>0</v>
      </c>
      <c r="M18" s="66"/>
      <c r="N18" s="34">
        <v>0</v>
      </c>
      <c r="O18" s="34">
        <v>0</v>
      </c>
      <c r="P18" s="34">
        <v>0</v>
      </c>
      <c r="Q18" s="34">
        <f t="shared" si="20"/>
        <v>0</v>
      </c>
      <c r="R18" s="31">
        <v>0</v>
      </c>
      <c r="S18" s="31">
        <v>0</v>
      </c>
      <c r="T18" s="31">
        <v>0</v>
      </c>
      <c r="U18" s="32">
        <v>0</v>
      </c>
      <c r="V18" s="32">
        <v>0</v>
      </c>
      <c r="W18" s="31">
        <v>0</v>
      </c>
      <c r="X18" s="31">
        <v>0</v>
      </c>
      <c r="Y18" s="33">
        <v>0</v>
      </c>
      <c r="Z18" s="33">
        <v>0</v>
      </c>
      <c r="AA18" s="33">
        <v>0</v>
      </c>
      <c r="AB18" s="33">
        <v>0</v>
      </c>
      <c r="AC18" s="66"/>
      <c r="AD18" s="50" t="s">
        <v>76</v>
      </c>
      <c r="AE18" s="50" t="s">
        <v>93</v>
      </c>
      <c r="AF18" s="50" t="s">
        <v>93</v>
      </c>
      <c r="AG18" s="50" t="s">
        <v>93</v>
      </c>
      <c r="AH18" s="66"/>
      <c r="AI18" s="34">
        <v>0</v>
      </c>
      <c r="AJ18" s="34">
        <f t="shared" si="14"/>
        <v>0</v>
      </c>
      <c r="AK18" s="34">
        <v>0</v>
      </c>
      <c r="AL18" s="34">
        <f t="shared" si="15"/>
        <v>0</v>
      </c>
      <c r="AM18" s="34">
        <v>0</v>
      </c>
      <c r="AN18" s="66"/>
      <c r="AO18" s="53">
        <v>0</v>
      </c>
      <c r="AP18" s="33">
        <v>0</v>
      </c>
      <c r="AQ18" s="33">
        <v>0</v>
      </c>
      <c r="AR18" s="33">
        <v>0</v>
      </c>
      <c r="AS18" s="33">
        <v>0</v>
      </c>
      <c r="AT18" s="33">
        <v>0</v>
      </c>
      <c r="AU18" s="68"/>
      <c r="AV18" s="74" t="s">
        <v>264</v>
      </c>
      <c r="AW18" s="62" t="s">
        <v>90</v>
      </c>
      <c r="AX18" s="59" t="s">
        <v>253</v>
      </c>
      <c r="AY18" s="61" t="s">
        <v>253</v>
      </c>
      <c r="AZ18" s="57">
        <v>0</v>
      </c>
    </row>
    <row r="19" spans="1:52" s="58" customFormat="1" ht="60">
      <c r="A19" s="30">
        <v>18</v>
      </c>
      <c r="B19" s="30" t="s">
        <v>28</v>
      </c>
      <c r="C19" s="30" t="s">
        <v>29</v>
      </c>
      <c r="D19" s="30" t="s">
        <v>30</v>
      </c>
      <c r="E19" s="66"/>
      <c r="F19" s="30" t="s">
        <v>110</v>
      </c>
      <c r="G19" s="30" t="s">
        <v>111</v>
      </c>
      <c r="H19" s="30" t="s">
        <v>33</v>
      </c>
      <c r="I19" s="34" t="s">
        <v>112</v>
      </c>
      <c r="J19" s="50">
        <v>40767</v>
      </c>
      <c r="K19" s="30" t="s">
        <v>113</v>
      </c>
      <c r="L19" s="34">
        <v>248000000</v>
      </c>
      <c r="M19" s="66"/>
      <c r="N19" s="34">
        <f t="shared" si="10"/>
        <v>248</v>
      </c>
      <c r="O19" s="34">
        <v>0</v>
      </c>
      <c r="P19" s="34">
        <f t="shared" si="12"/>
        <v>0</v>
      </c>
      <c r="Q19" s="34">
        <f t="shared" si="20"/>
        <v>0</v>
      </c>
      <c r="R19" s="31">
        <f t="shared" si="0"/>
        <v>0</v>
      </c>
      <c r="S19" s="31">
        <f t="shared" si="19"/>
        <v>0</v>
      </c>
      <c r="T19" s="31">
        <f t="shared" si="2"/>
        <v>0</v>
      </c>
      <c r="U19" s="32">
        <f t="shared" si="3"/>
        <v>0</v>
      </c>
      <c r="V19" s="32">
        <f t="shared" si="4"/>
        <v>0</v>
      </c>
      <c r="W19" s="31">
        <v>0</v>
      </c>
      <c r="X19" s="31">
        <v>0</v>
      </c>
      <c r="Y19" s="33">
        <v>0</v>
      </c>
      <c r="Z19" s="33">
        <v>0</v>
      </c>
      <c r="AA19" s="33">
        <f t="shared" si="9"/>
        <v>1</v>
      </c>
      <c r="AB19" s="33">
        <v>0</v>
      </c>
      <c r="AC19" s="66"/>
      <c r="AD19" s="50">
        <v>40973</v>
      </c>
      <c r="AE19" s="30">
        <v>150</v>
      </c>
      <c r="AF19" s="30" t="s">
        <v>93</v>
      </c>
      <c r="AG19" s="30" t="s">
        <v>71</v>
      </c>
      <c r="AH19" s="66"/>
      <c r="AI19" s="34">
        <v>0</v>
      </c>
      <c r="AJ19" s="34">
        <f t="shared" si="14"/>
        <v>248000000</v>
      </c>
      <c r="AK19" s="34">
        <v>0</v>
      </c>
      <c r="AL19" s="34">
        <f t="shared" si="15"/>
        <v>248000000</v>
      </c>
      <c r="AM19" s="34">
        <v>0</v>
      </c>
      <c r="AN19" s="66"/>
      <c r="AO19" s="53">
        <f t="shared" si="16"/>
        <v>3.3333333333333333E-2</v>
      </c>
      <c r="AP19" s="33">
        <v>0</v>
      </c>
      <c r="AQ19" s="33">
        <v>0</v>
      </c>
      <c r="AR19" s="33">
        <f t="shared" si="17"/>
        <v>150</v>
      </c>
      <c r="AS19" s="33">
        <v>5</v>
      </c>
      <c r="AT19" s="33">
        <f t="shared" si="18"/>
        <v>145</v>
      </c>
      <c r="AU19" s="68"/>
      <c r="AV19" s="74" t="s">
        <v>256</v>
      </c>
      <c r="AW19" s="62" t="s">
        <v>114</v>
      </c>
      <c r="AX19" s="59" t="s">
        <v>253</v>
      </c>
      <c r="AY19" s="61" t="s">
        <v>253</v>
      </c>
      <c r="AZ19" s="57">
        <v>0</v>
      </c>
    </row>
    <row r="20" spans="1:52" s="58" customFormat="1" ht="150">
      <c r="A20" s="30">
        <v>19</v>
      </c>
      <c r="B20" s="30" t="s">
        <v>28</v>
      </c>
      <c r="C20" s="30" t="s">
        <v>29</v>
      </c>
      <c r="D20" s="30" t="s">
        <v>30</v>
      </c>
      <c r="E20" s="66"/>
      <c r="F20" s="30" t="s">
        <v>115</v>
      </c>
      <c r="G20" s="30" t="s">
        <v>116</v>
      </c>
      <c r="H20" s="30" t="s">
        <v>33</v>
      </c>
      <c r="I20" s="34" t="s">
        <v>117</v>
      </c>
      <c r="J20" s="50">
        <v>43415</v>
      </c>
      <c r="K20" s="30" t="s">
        <v>41</v>
      </c>
      <c r="L20" s="34">
        <v>375065031.33999997</v>
      </c>
      <c r="M20" s="66"/>
      <c r="N20" s="34">
        <f t="shared" si="10"/>
        <v>375.06503133999996</v>
      </c>
      <c r="O20" s="34">
        <v>0</v>
      </c>
      <c r="P20" s="34">
        <f t="shared" si="12"/>
        <v>0</v>
      </c>
      <c r="Q20" s="34">
        <f t="shared" si="20"/>
        <v>0</v>
      </c>
      <c r="R20" s="31">
        <f t="shared" si="0"/>
        <v>0</v>
      </c>
      <c r="S20" s="31">
        <f t="shared" si="19"/>
        <v>0</v>
      </c>
      <c r="T20" s="31">
        <f t="shared" si="2"/>
        <v>0</v>
      </c>
      <c r="U20" s="32">
        <f t="shared" si="3"/>
        <v>0</v>
      </c>
      <c r="V20" s="32">
        <f t="shared" si="4"/>
        <v>0</v>
      </c>
      <c r="W20" s="31">
        <v>0</v>
      </c>
      <c r="X20" s="31">
        <v>0</v>
      </c>
      <c r="Y20" s="33">
        <v>0</v>
      </c>
      <c r="Z20" s="33">
        <v>0</v>
      </c>
      <c r="AA20" s="33">
        <f t="shared" si="9"/>
        <v>1</v>
      </c>
      <c r="AB20" s="33">
        <v>0</v>
      </c>
      <c r="AC20" s="66"/>
      <c r="AD20" s="50" t="s">
        <v>76</v>
      </c>
      <c r="AE20" s="51">
        <v>180</v>
      </c>
      <c r="AF20" s="30" t="s">
        <v>297</v>
      </c>
      <c r="AG20" s="30" t="s">
        <v>158</v>
      </c>
      <c r="AH20" s="66"/>
      <c r="AI20" s="34">
        <v>0</v>
      </c>
      <c r="AJ20" s="34">
        <f t="shared" si="14"/>
        <v>375065031.33999997</v>
      </c>
      <c r="AK20" s="34">
        <v>0</v>
      </c>
      <c r="AL20" s="34">
        <f t="shared" si="15"/>
        <v>375065031.33999997</v>
      </c>
      <c r="AM20" s="34">
        <v>0</v>
      </c>
      <c r="AN20" s="66"/>
      <c r="AO20" s="53">
        <f t="shared" si="16"/>
        <v>0</v>
      </c>
      <c r="AP20" s="33">
        <v>0</v>
      </c>
      <c r="AQ20" s="33">
        <v>0</v>
      </c>
      <c r="AR20" s="33">
        <f t="shared" si="17"/>
        <v>180</v>
      </c>
      <c r="AS20" s="33">
        <v>0</v>
      </c>
      <c r="AT20" s="33">
        <f t="shared" si="18"/>
        <v>180</v>
      </c>
      <c r="AU20" s="68"/>
      <c r="AV20" s="74" t="s">
        <v>316</v>
      </c>
      <c r="AW20" s="62" t="s">
        <v>119</v>
      </c>
      <c r="AX20" s="59" t="s">
        <v>253</v>
      </c>
      <c r="AY20" s="61" t="s">
        <v>253</v>
      </c>
      <c r="AZ20" s="57">
        <v>0</v>
      </c>
    </row>
    <row r="21" spans="1:52" s="58" customFormat="1" ht="391.5" customHeight="1">
      <c r="A21" s="30">
        <v>20</v>
      </c>
      <c r="B21" s="30" t="s">
        <v>28</v>
      </c>
      <c r="C21" s="30" t="s">
        <v>29</v>
      </c>
      <c r="D21" s="30" t="s">
        <v>30</v>
      </c>
      <c r="E21" s="66"/>
      <c r="F21" s="30" t="s">
        <v>120</v>
      </c>
      <c r="G21" s="30" t="s">
        <v>121</v>
      </c>
      <c r="H21" s="30" t="s">
        <v>33</v>
      </c>
      <c r="I21" s="34" t="s">
        <v>122</v>
      </c>
      <c r="J21" s="50">
        <v>43381</v>
      </c>
      <c r="K21" s="30" t="s">
        <v>41</v>
      </c>
      <c r="L21" s="34">
        <v>213504346.06</v>
      </c>
      <c r="M21" s="66"/>
      <c r="N21" s="34">
        <f t="shared" si="10"/>
        <v>213.50434605999999</v>
      </c>
      <c r="O21" s="34">
        <v>0</v>
      </c>
      <c r="P21" s="34">
        <f t="shared" si="12"/>
        <v>0</v>
      </c>
      <c r="Q21" s="34">
        <f t="shared" si="20"/>
        <v>0</v>
      </c>
      <c r="R21" s="31">
        <f t="shared" si="0"/>
        <v>0</v>
      </c>
      <c r="S21" s="31">
        <f t="shared" si="19"/>
        <v>0</v>
      </c>
      <c r="T21" s="31">
        <f t="shared" si="2"/>
        <v>0</v>
      </c>
      <c r="U21" s="32">
        <f t="shared" si="3"/>
        <v>0</v>
      </c>
      <c r="V21" s="32">
        <f t="shared" si="4"/>
        <v>0</v>
      </c>
      <c r="W21" s="31">
        <v>0</v>
      </c>
      <c r="X21" s="31">
        <v>0</v>
      </c>
      <c r="Y21" s="33">
        <v>0</v>
      </c>
      <c r="Z21" s="33">
        <v>0</v>
      </c>
      <c r="AA21" s="33">
        <f t="shared" si="9"/>
        <v>1</v>
      </c>
      <c r="AB21" s="33">
        <v>0</v>
      </c>
      <c r="AC21" s="66"/>
      <c r="AD21" s="50" t="s">
        <v>93</v>
      </c>
      <c r="AE21" s="30">
        <v>175</v>
      </c>
      <c r="AF21" s="30" t="s">
        <v>297</v>
      </c>
      <c r="AG21" s="30" t="s">
        <v>158</v>
      </c>
      <c r="AH21" s="66"/>
      <c r="AI21" s="34">
        <v>0</v>
      </c>
      <c r="AJ21" s="34">
        <f t="shared" si="14"/>
        <v>213504346.06</v>
      </c>
      <c r="AK21" s="34">
        <v>0</v>
      </c>
      <c r="AL21" s="34">
        <f t="shared" si="15"/>
        <v>213504346.06</v>
      </c>
      <c r="AM21" s="34">
        <v>0</v>
      </c>
      <c r="AN21" s="66"/>
      <c r="AO21" s="53">
        <f t="shared" si="16"/>
        <v>0</v>
      </c>
      <c r="AP21" s="33">
        <v>0</v>
      </c>
      <c r="AQ21" s="33">
        <v>0</v>
      </c>
      <c r="AR21" s="33">
        <f t="shared" si="17"/>
        <v>175</v>
      </c>
      <c r="AS21" s="33">
        <v>0</v>
      </c>
      <c r="AT21" s="33">
        <f t="shared" si="18"/>
        <v>175</v>
      </c>
      <c r="AU21" s="68"/>
      <c r="AV21" s="74" t="s">
        <v>317</v>
      </c>
      <c r="AW21" s="62" t="s">
        <v>124</v>
      </c>
      <c r="AX21" s="59" t="s">
        <v>253</v>
      </c>
      <c r="AY21" s="61" t="s">
        <v>253</v>
      </c>
      <c r="AZ21" s="57">
        <v>0</v>
      </c>
    </row>
    <row r="22" spans="1:52" s="58" customFormat="1" ht="195">
      <c r="A22" s="30">
        <v>21</v>
      </c>
      <c r="B22" s="30" t="s">
        <v>28</v>
      </c>
      <c r="C22" s="30" t="s">
        <v>29</v>
      </c>
      <c r="D22" s="30" t="s">
        <v>30</v>
      </c>
      <c r="E22" s="66"/>
      <c r="F22" s="30" t="s">
        <v>125</v>
      </c>
      <c r="G22" s="30" t="s">
        <v>126</v>
      </c>
      <c r="H22" s="30" t="s">
        <v>33</v>
      </c>
      <c r="I22" s="34" t="s">
        <v>127</v>
      </c>
      <c r="J22" s="50">
        <v>44449</v>
      </c>
      <c r="K22" s="30" t="s">
        <v>128</v>
      </c>
      <c r="L22" s="34">
        <v>1079551152.1359999</v>
      </c>
      <c r="M22" s="66"/>
      <c r="N22" s="34">
        <f t="shared" si="10"/>
        <v>1079.5511521359999</v>
      </c>
      <c r="O22" s="34">
        <v>0</v>
      </c>
      <c r="P22" s="34">
        <f t="shared" si="12"/>
        <v>0</v>
      </c>
      <c r="Q22" s="34">
        <f t="shared" si="20"/>
        <v>0</v>
      </c>
      <c r="R22" s="31">
        <f t="shared" si="0"/>
        <v>0</v>
      </c>
      <c r="S22" s="31">
        <f t="shared" si="19"/>
        <v>0</v>
      </c>
      <c r="T22" s="31">
        <f t="shared" si="2"/>
        <v>0</v>
      </c>
      <c r="U22" s="32">
        <f t="shared" si="3"/>
        <v>0</v>
      </c>
      <c r="V22" s="32">
        <f t="shared" si="4"/>
        <v>0</v>
      </c>
      <c r="W22" s="31">
        <v>0</v>
      </c>
      <c r="X22" s="31">
        <v>0</v>
      </c>
      <c r="Y22" s="33">
        <v>0</v>
      </c>
      <c r="Z22" s="33">
        <v>0</v>
      </c>
      <c r="AA22" s="33">
        <f t="shared" si="9"/>
        <v>1</v>
      </c>
      <c r="AB22" s="33">
        <v>0</v>
      </c>
      <c r="AC22" s="66"/>
      <c r="AD22" s="50" t="s">
        <v>93</v>
      </c>
      <c r="AE22" s="51">
        <v>300</v>
      </c>
      <c r="AF22" s="30" t="s">
        <v>297</v>
      </c>
      <c r="AG22" s="30" t="s">
        <v>123</v>
      </c>
      <c r="AH22" s="66"/>
      <c r="AI22" s="34">
        <v>0</v>
      </c>
      <c r="AJ22" s="34">
        <f t="shared" si="14"/>
        <v>1079551152.1359999</v>
      </c>
      <c r="AK22" s="34">
        <v>0</v>
      </c>
      <c r="AL22" s="34">
        <f t="shared" si="15"/>
        <v>1079551152.1359999</v>
      </c>
      <c r="AM22" s="34">
        <v>0</v>
      </c>
      <c r="AN22" s="66"/>
      <c r="AO22" s="53">
        <v>0</v>
      </c>
      <c r="AP22" s="33">
        <v>0</v>
      </c>
      <c r="AQ22" s="33">
        <v>0</v>
      </c>
      <c r="AR22" s="33">
        <v>0</v>
      </c>
      <c r="AS22" s="33">
        <v>0</v>
      </c>
      <c r="AT22" s="33">
        <v>0</v>
      </c>
      <c r="AU22" s="68"/>
      <c r="AV22" s="74" t="s">
        <v>318</v>
      </c>
      <c r="AW22" s="62" t="s">
        <v>288</v>
      </c>
      <c r="AX22" s="59" t="s">
        <v>253</v>
      </c>
      <c r="AY22" s="61" t="s">
        <v>253</v>
      </c>
      <c r="AZ22" s="57">
        <v>0</v>
      </c>
    </row>
    <row r="23" spans="1:52" s="58" customFormat="1" ht="90">
      <c r="A23" s="30">
        <v>22</v>
      </c>
      <c r="B23" s="30" t="s">
        <v>28</v>
      </c>
      <c r="C23" s="30" t="s">
        <v>29</v>
      </c>
      <c r="D23" s="30" t="s">
        <v>30</v>
      </c>
      <c r="E23" s="66"/>
      <c r="F23" s="30" t="s">
        <v>129</v>
      </c>
      <c r="G23" s="30" t="s">
        <v>130</v>
      </c>
      <c r="H23" s="30" t="s">
        <v>33</v>
      </c>
      <c r="I23" s="34" t="s">
        <v>131</v>
      </c>
      <c r="J23" s="50">
        <v>43315</v>
      </c>
      <c r="K23" s="30" t="s">
        <v>41</v>
      </c>
      <c r="L23" s="34">
        <v>911460365.63999999</v>
      </c>
      <c r="M23" s="66"/>
      <c r="N23" s="34">
        <f t="shared" si="10"/>
        <v>911.46036563999996</v>
      </c>
      <c r="O23" s="34">
        <v>0</v>
      </c>
      <c r="P23" s="34">
        <f t="shared" si="12"/>
        <v>0</v>
      </c>
      <c r="Q23" s="34">
        <f t="shared" si="20"/>
        <v>0</v>
      </c>
      <c r="R23" s="31">
        <f t="shared" si="0"/>
        <v>0</v>
      </c>
      <c r="S23" s="31">
        <f t="shared" si="19"/>
        <v>0</v>
      </c>
      <c r="T23" s="31">
        <f t="shared" si="2"/>
        <v>0</v>
      </c>
      <c r="U23" s="32">
        <f t="shared" si="3"/>
        <v>0</v>
      </c>
      <c r="V23" s="32">
        <f t="shared" si="4"/>
        <v>0</v>
      </c>
      <c r="W23" s="31">
        <v>0</v>
      </c>
      <c r="X23" s="31">
        <v>0</v>
      </c>
      <c r="Y23" s="33">
        <v>0</v>
      </c>
      <c r="Z23" s="33">
        <v>0</v>
      </c>
      <c r="AA23" s="33">
        <f t="shared" si="9"/>
        <v>1</v>
      </c>
      <c r="AB23" s="33">
        <v>0</v>
      </c>
      <c r="AC23" s="66"/>
      <c r="AD23" s="50" t="s">
        <v>93</v>
      </c>
      <c r="AE23" s="51">
        <v>200</v>
      </c>
      <c r="AF23" s="30" t="s">
        <v>297</v>
      </c>
      <c r="AG23" s="30" t="s">
        <v>123</v>
      </c>
      <c r="AH23" s="66"/>
      <c r="AI23" s="34">
        <v>0</v>
      </c>
      <c r="AJ23" s="34">
        <f t="shared" si="14"/>
        <v>911460365.63999999</v>
      </c>
      <c r="AK23" s="34">
        <v>0</v>
      </c>
      <c r="AL23" s="34">
        <f t="shared" si="15"/>
        <v>911460365.63999999</v>
      </c>
      <c r="AM23" s="34">
        <v>0</v>
      </c>
      <c r="AN23" s="66"/>
      <c r="AO23" s="53">
        <f t="shared" si="16"/>
        <v>0</v>
      </c>
      <c r="AP23" s="33">
        <v>0</v>
      </c>
      <c r="AQ23" s="33">
        <v>0</v>
      </c>
      <c r="AR23" s="33">
        <f t="shared" si="17"/>
        <v>200</v>
      </c>
      <c r="AS23" s="33">
        <v>0</v>
      </c>
      <c r="AT23" s="33">
        <f t="shared" si="18"/>
        <v>200</v>
      </c>
      <c r="AU23" s="68"/>
      <c r="AV23" s="74" t="s">
        <v>319</v>
      </c>
      <c r="AW23" s="54" t="s">
        <v>132</v>
      </c>
      <c r="AX23" s="59" t="s">
        <v>253</v>
      </c>
      <c r="AY23" s="61" t="s">
        <v>253</v>
      </c>
      <c r="AZ23" s="57">
        <v>0</v>
      </c>
    </row>
    <row r="24" spans="1:52" s="58" customFormat="1" ht="375">
      <c r="A24" s="30">
        <v>23</v>
      </c>
      <c r="B24" s="30" t="s">
        <v>28</v>
      </c>
      <c r="C24" s="30" t="s">
        <v>29</v>
      </c>
      <c r="D24" s="30" t="s">
        <v>30</v>
      </c>
      <c r="E24" s="66"/>
      <c r="F24" s="30" t="s">
        <v>133</v>
      </c>
      <c r="G24" s="30" t="s">
        <v>134</v>
      </c>
      <c r="H24" s="30" t="s">
        <v>33</v>
      </c>
      <c r="I24" s="34" t="s">
        <v>135</v>
      </c>
      <c r="J24" s="50">
        <v>43710</v>
      </c>
      <c r="K24" s="30" t="s">
        <v>41</v>
      </c>
      <c r="L24" s="34">
        <v>556173913.89999998</v>
      </c>
      <c r="M24" s="66"/>
      <c r="N24" s="34">
        <f t="shared" si="10"/>
        <v>556.1739139</v>
      </c>
      <c r="O24" s="34">
        <v>0</v>
      </c>
      <c r="P24" s="34">
        <f t="shared" si="12"/>
        <v>0</v>
      </c>
      <c r="Q24" s="34">
        <f t="shared" si="20"/>
        <v>0</v>
      </c>
      <c r="R24" s="31">
        <f t="shared" si="0"/>
        <v>0</v>
      </c>
      <c r="S24" s="31">
        <f t="shared" si="19"/>
        <v>0</v>
      </c>
      <c r="T24" s="31">
        <f t="shared" si="2"/>
        <v>0</v>
      </c>
      <c r="U24" s="32">
        <f t="shared" si="3"/>
        <v>0</v>
      </c>
      <c r="V24" s="32">
        <f t="shared" si="4"/>
        <v>0</v>
      </c>
      <c r="W24" s="31">
        <v>0</v>
      </c>
      <c r="X24" s="31">
        <v>0</v>
      </c>
      <c r="Y24" s="33">
        <v>0</v>
      </c>
      <c r="Z24" s="33">
        <v>0</v>
      </c>
      <c r="AA24" s="33">
        <f t="shared" si="9"/>
        <v>1</v>
      </c>
      <c r="AB24" s="33">
        <v>0</v>
      </c>
      <c r="AC24" s="66"/>
      <c r="AD24" s="50" t="s">
        <v>93</v>
      </c>
      <c r="AE24" s="51">
        <v>150</v>
      </c>
      <c r="AF24" s="30" t="s">
        <v>297</v>
      </c>
      <c r="AG24" s="30" t="s">
        <v>158</v>
      </c>
      <c r="AH24" s="66"/>
      <c r="AI24" s="34">
        <v>0</v>
      </c>
      <c r="AJ24" s="34">
        <f t="shared" si="14"/>
        <v>556173913.89999998</v>
      </c>
      <c r="AK24" s="34">
        <v>0</v>
      </c>
      <c r="AL24" s="34">
        <f t="shared" si="15"/>
        <v>556173913.89999998</v>
      </c>
      <c r="AM24" s="34">
        <v>0</v>
      </c>
      <c r="AN24" s="66"/>
      <c r="AO24" s="53">
        <f t="shared" si="16"/>
        <v>0</v>
      </c>
      <c r="AP24" s="33">
        <v>0</v>
      </c>
      <c r="AQ24" s="33">
        <v>0</v>
      </c>
      <c r="AR24" s="33">
        <f t="shared" si="17"/>
        <v>150</v>
      </c>
      <c r="AS24" s="33">
        <v>0</v>
      </c>
      <c r="AT24" s="33">
        <f t="shared" si="18"/>
        <v>150</v>
      </c>
      <c r="AU24" s="68"/>
      <c r="AV24" s="74" t="s">
        <v>320</v>
      </c>
      <c r="AW24" s="54" t="s">
        <v>136</v>
      </c>
      <c r="AX24" s="59" t="s">
        <v>253</v>
      </c>
      <c r="AY24" s="61" t="s">
        <v>253</v>
      </c>
      <c r="AZ24" s="57">
        <v>0</v>
      </c>
    </row>
    <row r="25" spans="1:52" s="58" customFormat="1" ht="165">
      <c r="A25" s="30">
        <v>24</v>
      </c>
      <c r="B25" s="30" t="s">
        <v>28</v>
      </c>
      <c r="C25" s="30" t="s">
        <v>29</v>
      </c>
      <c r="D25" s="30" t="s">
        <v>30</v>
      </c>
      <c r="E25" s="66"/>
      <c r="F25" s="30" t="s">
        <v>137</v>
      </c>
      <c r="G25" s="30" t="s">
        <v>138</v>
      </c>
      <c r="H25" s="30" t="s">
        <v>33</v>
      </c>
      <c r="I25" s="34" t="s">
        <v>139</v>
      </c>
      <c r="J25" s="50">
        <v>44155</v>
      </c>
      <c r="K25" s="30" t="s">
        <v>140</v>
      </c>
      <c r="L25" s="34">
        <v>1907624524.55</v>
      </c>
      <c r="M25" s="66"/>
      <c r="N25" s="34">
        <f t="shared" si="10"/>
        <v>1907.6245245499999</v>
      </c>
      <c r="O25" s="34">
        <v>0</v>
      </c>
      <c r="P25" s="34">
        <f t="shared" si="12"/>
        <v>0</v>
      </c>
      <c r="Q25" s="34">
        <f>233505813.99/1000000</f>
        <v>233.50581399000001</v>
      </c>
      <c r="R25" s="31">
        <f t="shared" si="0"/>
        <v>0</v>
      </c>
      <c r="S25" s="31">
        <f t="shared" si="19"/>
        <v>0.12240659049247807</v>
      </c>
      <c r="T25" s="31">
        <f t="shared" si="2"/>
        <v>0</v>
      </c>
      <c r="U25" s="32">
        <f t="shared" si="3"/>
        <v>233.50581399000001</v>
      </c>
      <c r="V25" s="32">
        <f t="shared" si="4"/>
        <v>233.50581399000001</v>
      </c>
      <c r="W25" s="31">
        <v>0</v>
      </c>
      <c r="X25" s="31">
        <v>0</v>
      </c>
      <c r="Y25" s="33">
        <v>0</v>
      </c>
      <c r="Z25" s="33">
        <v>0</v>
      </c>
      <c r="AA25" s="33">
        <v>0</v>
      </c>
      <c r="AB25" s="33">
        <v>0</v>
      </c>
      <c r="AC25" s="66"/>
      <c r="AD25" s="50">
        <v>44957</v>
      </c>
      <c r="AE25" s="51">
        <v>360</v>
      </c>
      <c r="AF25" s="52">
        <v>45585</v>
      </c>
      <c r="AG25" s="30" t="s">
        <v>268</v>
      </c>
      <c r="AH25" s="66"/>
      <c r="AI25" s="34">
        <v>0</v>
      </c>
      <c r="AJ25" s="34">
        <f t="shared" si="14"/>
        <v>1907624524.55</v>
      </c>
      <c r="AK25" s="34">
        <v>0</v>
      </c>
      <c r="AL25" s="34">
        <f t="shared" si="15"/>
        <v>1907624524.55</v>
      </c>
      <c r="AM25" s="34">
        <v>0</v>
      </c>
      <c r="AN25" s="66"/>
      <c r="AO25" s="53">
        <f t="shared" si="16"/>
        <v>0.33333333333333331</v>
      </c>
      <c r="AP25" s="33">
        <v>0</v>
      </c>
      <c r="AQ25" s="33">
        <v>0</v>
      </c>
      <c r="AR25" s="33">
        <f t="shared" si="17"/>
        <v>360</v>
      </c>
      <c r="AS25" s="33">
        <v>120</v>
      </c>
      <c r="AT25" s="33">
        <f t="shared" si="18"/>
        <v>240</v>
      </c>
      <c r="AU25" s="68"/>
      <c r="AV25" s="74" t="s">
        <v>321</v>
      </c>
      <c r="AW25" s="54" t="s">
        <v>141</v>
      </c>
      <c r="AX25" s="59" t="s">
        <v>253</v>
      </c>
      <c r="AY25" s="61" t="s">
        <v>253</v>
      </c>
      <c r="AZ25" s="57">
        <v>233505813.99000001</v>
      </c>
    </row>
    <row r="26" spans="1:52" s="58" customFormat="1" ht="75">
      <c r="A26" s="30">
        <v>25</v>
      </c>
      <c r="B26" s="30" t="s">
        <v>28</v>
      </c>
      <c r="C26" s="30" t="s">
        <v>29</v>
      </c>
      <c r="D26" s="30" t="s">
        <v>93</v>
      </c>
      <c r="E26" s="66"/>
      <c r="F26" s="30" t="s">
        <v>93</v>
      </c>
      <c r="G26" s="30" t="s">
        <v>142</v>
      </c>
      <c r="H26" s="30" t="s">
        <v>33</v>
      </c>
      <c r="I26" s="34" t="s">
        <v>93</v>
      </c>
      <c r="J26" s="50" t="s">
        <v>93</v>
      </c>
      <c r="K26" s="30" t="s">
        <v>93</v>
      </c>
      <c r="L26" s="30" t="s">
        <v>93</v>
      </c>
      <c r="M26" s="66"/>
      <c r="N26" s="34">
        <v>0</v>
      </c>
      <c r="O26" s="34">
        <v>0</v>
      </c>
      <c r="P26" s="34">
        <f t="shared" si="12"/>
        <v>0</v>
      </c>
      <c r="Q26" s="34">
        <f>0/1000000</f>
        <v>0</v>
      </c>
      <c r="R26" s="31">
        <v>0</v>
      </c>
      <c r="S26" s="31">
        <v>0</v>
      </c>
      <c r="T26" s="31">
        <v>0</v>
      </c>
      <c r="U26" s="32">
        <v>0</v>
      </c>
      <c r="V26" s="32">
        <v>0</v>
      </c>
      <c r="W26" s="31">
        <v>0</v>
      </c>
      <c r="X26" s="31">
        <v>0</v>
      </c>
      <c r="Y26" s="33">
        <v>0</v>
      </c>
      <c r="Z26" s="33">
        <v>0</v>
      </c>
      <c r="AA26" s="33">
        <v>0</v>
      </c>
      <c r="AB26" s="33">
        <v>0</v>
      </c>
      <c r="AC26" s="66"/>
      <c r="AD26" s="50" t="s">
        <v>93</v>
      </c>
      <c r="AE26" s="30" t="s">
        <v>93</v>
      </c>
      <c r="AF26" s="34" t="s">
        <v>93</v>
      </c>
      <c r="AG26" s="30" t="s">
        <v>118</v>
      </c>
      <c r="AH26" s="66"/>
      <c r="AI26" s="34">
        <v>0</v>
      </c>
      <c r="AJ26" s="34">
        <v>0</v>
      </c>
      <c r="AK26" s="34">
        <v>0</v>
      </c>
      <c r="AL26" s="34">
        <v>0</v>
      </c>
      <c r="AM26" s="34">
        <v>0</v>
      </c>
      <c r="AN26" s="66"/>
      <c r="AO26" s="53">
        <v>0</v>
      </c>
      <c r="AP26" s="33">
        <v>0</v>
      </c>
      <c r="AQ26" s="33">
        <v>0</v>
      </c>
      <c r="AR26" s="33">
        <v>0</v>
      </c>
      <c r="AS26" s="33">
        <v>0</v>
      </c>
      <c r="AT26" s="33">
        <v>0</v>
      </c>
      <c r="AU26" s="68"/>
      <c r="AV26" s="74" t="s">
        <v>230</v>
      </c>
      <c r="AW26" s="62" t="s">
        <v>93</v>
      </c>
      <c r="AX26" s="59" t="s">
        <v>253</v>
      </c>
      <c r="AY26" s="61" t="s">
        <v>253</v>
      </c>
      <c r="AZ26" s="57">
        <v>0</v>
      </c>
    </row>
    <row r="27" spans="1:52" s="58" customFormat="1" ht="225">
      <c r="A27" s="30">
        <v>26</v>
      </c>
      <c r="B27" s="30" t="s">
        <v>28</v>
      </c>
      <c r="C27" s="30" t="s">
        <v>29</v>
      </c>
      <c r="D27" s="30" t="s">
        <v>143</v>
      </c>
      <c r="E27" s="66"/>
      <c r="F27" s="30" t="s">
        <v>144</v>
      </c>
      <c r="G27" s="30" t="s">
        <v>145</v>
      </c>
      <c r="H27" s="30" t="s">
        <v>33</v>
      </c>
      <c r="I27" s="34" t="s">
        <v>146</v>
      </c>
      <c r="J27" s="50" t="s">
        <v>144</v>
      </c>
      <c r="K27" s="30" t="s">
        <v>289</v>
      </c>
      <c r="L27" s="34">
        <v>1202955050.46</v>
      </c>
      <c r="M27" s="66"/>
      <c r="N27" s="34">
        <v>0</v>
      </c>
      <c r="O27" s="34">
        <f t="shared" si="11"/>
        <v>0</v>
      </c>
      <c r="P27" s="34">
        <f t="shared" si="12"/>
        <v>0</v>
      </c>
      <c r="Q27" s="34">
        <v>0</v>
      </c>
      <c r="R27" s="31">
        <v>0</v>
      </c>
      <c r="S27" s="31">
        <v>0</v>
      </c>
      <c r="T27" s="31">
        <v>0</v>
      </c>
      <c r="U27" s="32">
        <v>0</v>
      </c>
      <c r="V27" s="32">
        <v>0</v>
      </c>
      <c r="W27" s="31">
        <v>0</v>
      </c>
      <c r="X27" s="31">
        <v>0</v>
      </c>
      <c r="Y27" s="33">
        <v>0</v>
      </c>
      <c r="Z27" s="33">
        <v>0</v>
      </c>
      <c r="AA27" s="33">
        <v>0</v>
      </c>
      <c r="AB27" s="33">
        <v>0</v>
      </c>
      <c r="AC27" s="66"/>
      <c r="AD27" s="50" t="s">
        <v>93</v>
      </c>
      <c r="AE27" s="30">
        <v>180</v>
      </c>
      <c r="AF27" s="30" t="s">
        <v>297</v>
      </c>
      <c r="AG27" s="30" t="s">
        <v>118</v>
      </c>
      <c r="AH27" s="66"/>
      <c r="AI27" s="34">
        <v>0</v>
      </c>
      <c r="AJ27" s="34">
        <f t="shared" si="14"/>
        <v>1202955050.46</v>
      </c>
      <c r="AK27" s="34">
        <v>0</v>
      </c>
      <c r="AL27" s="34">
        <f t="shared" si="15"/>
        <v>1202955050.46</v>
      </c>
      <c r="AM27" s="34">
        <v>0</v>
      </c>
      <c r="AN27" s="66"/>
      <c r="AO27" s="53">
        <v>0</v>
      </c>
      <c r="AP27" s="33">
        <v>0</v>
      </c>
      <c r="AQ27" s="33">
        <v>0</v>
      </c>
      <c r="AR27" s="33">
        <v>0</v>
      </c>
      <c r="AS27" s="33">
        <v>0</v>
      </c>
      <c r="AT27" s="33">
        <v>0</v>
      </c>
      <c r="AU27" s="68"/>
      <c r="AV27" s="74" t="s">
        <v>303</v>
      </c>
      <c r="AW27" s="62" t="s">
        <v>147</v>
      </c>
      <c r="AX27" s="59" t="s">
        <v>253</v>
      </c>
      <c r="AY27" s="61" t="s">
        <v>253</v>
      </c>
      <c r="AZ27" s="57">
        <v>0</v>
      </c>
    </row>
    <row r="28" spans="1:52" s="58" customFormat="1" ht="75">
      <c r="A28" s="30">
        <v>27</v>
      </c>
      <c r="B28" s="30" t="s">
        <v>28</v>
      </c>
      <c r="C28" s="30" t="s">
        <v>29</v>
      </c>
      <c r="D28" s="30" t="s">
        <v>30</v>
      </c>
      <c r="E28" s="66"/>
      <c r="F28" s="30" t="s">
        <v>148</v>
      </c>
      <c r="G28" s="30" t="s">
        <v>149</v>
      </c>
      <c r="H28" s="30" t="s">
        <v>33</v>
      </c>
      <c r="I28" s="34" t="s">
        <v>269</v>
      </c>
      <c r="J28" s="50" t="s">
        <v>93</v>
      </c>
      <c r="K28" s="30" t="s">
        <v>148</v>
      </c>
      <c r="L28" s="30" t="s">
        <v>93</v>
      </c>
      <c r="M28" s="66"/>
      <c r="N28" s="34">
        <v>0</v>
      </c>
      <c r="O28" s="34">
        <f t="shared" si="11"/>
        <v>0</v>
      </c>
      <c r="P28" s="34">
        <f t="shared" si="12"/>
        <v>0</v>
      </c>
      <c r="Q28" s="34">
        <v>0</v>
      </c>
      <c r="R28" s="31">
        <v>0</v>
      </c>
      <c r="S28" s="31">
        <v>0</v>
      </c>
      <c r="T28" s="31">
        <v>0</v>
      </c>
      <c r="U28" s="32">
        <v>0</v>
      </c>
      <c r="V28" s="32">
        <v>0</v>
      </c>
      <c r="W28" s="31">
        <v>0</v>
      </c>
      <c r="X28" s="31">
        <v>0</v>
      </c>
      <c r="Y28" s="33">
        <v>0</v>
      </c>
      <c r="Z28" s="33">
        <v>0</v>
      </c>
      <c r="AA28" s="33">
        <v>0</v>
      </c>
      <c r="AB28" s="33">
        <v>0</v>
      </c>
      <c r="AC28" s="66"/>
      <c r="AD28" s="50" t="s">
        <v>93</v>
      </c>
      <c r="AE28" s="30" t="s">
        <v>93</v>
      </c>
      <c r="AF28" s="30" t="s">
        <v>297</v>
      </c>
      <c r="AG28" s="30" t="s">
        <v>118</v>
      </c>
      <c r="AH28" s="66"/>
      <c r="AI28" s="34">
        <v>0</v>
      </c>
      <c r="AJ28" s="34">
        <v>0</v>
      </c>
      <c r="AK28" s="34">
        <v>0</v>
      </c>
      <c r="AL28" s="34">
        <f t="shared" si="15"/>
        <v>0</v>
      </c>
      <c r="AM28" s="34">
        <v>0</v>
      </c>
      <c r="AN28" s="66"/>
      <c r="AO28" s="53">
        <v>0</v>
      </c>
      <c r="AP28" s="33">
        <v>0</v>
      </c>
      <c r="AQ28" s="33">
        <v>0</v>
      </c>
      <c r="AR28" s="33">
        <v>0</v>
      </c>
      <c r="AS28" s="33">
        <v>0</v>
      </c>
      <c r="AT28" s="33">
        <v>0</v>
      </c>
      <c r="AU28" s="68"/>
      <c r="AV28" s="74" t="s">
        <v>270</v>
      </c>
      <c r="AW28" s="62" t="s">
        <v>150</v>
      </c>
      <c r="AX28" s="59" t="s">
        <v>253</v>
      </c>
      <c r="AY28" s="61" t="s">
        <v>253</v>
      </c>
      <c r="AZ28" s="57">
        <v>0</v>
      </c>
    </row>
    <row r="29" spans="1:52" s="58" customFormat="1" ht="255">
      <c r="A29" s="30">
        <v>28</v>
      </c>
      <c r="B29" s="30" t="s">
        <v>28</v>
      </c>
      <c r="C29" s="30" t="s">
        <v>29</v>
      </c>
      <c r="D29" s="30" t="s">
        <v>30</v>
      </c>
      <c r="E29" s="66"/>
      <c r="F29" s="30" t="s">
        <v>151</v>
      </c>
      <c r="G29" s="30" t="s">
        <v>152</v>
      </c>
      <c r="H29" s="30" t="s">
        <v>33</v>
      </c>
      <c r="I29" s="34" t="s">
        <v>271</v>
      </c>
      <c r="J29" s="50">
        <v>44739</v>
      </c>
      <c r="K29" s="30" t="s">
        <v>153</v>
      </c>
      <c r="L29" s="34">
        <v>458018394.60000002</v>
      </c>
      <c r="M29" s="66"/>
      <c r="N29" s="34">
        <f t="shared" si="10"/>
        <v>657.19812377999995</v>
      </c>
      <c r="O29" s="34">
        <v>0</v>
      </c>
      <c r="P29" s="34">
        <f t="shared" si="12"/>
        <v>64.997831610000006</v>
      </c>
      <c r="Q29" s="34">
        <f>418040251.15/1000000</f>
        <v>418.04025114999996</v>
      </c>
      <c r="R29" s="31">
        <f t="shared" si="0"/>
        <v>0</v>
      </c>
      <c r="S29" s="31">
        <f t="shared" si="19"/>
        <v>0.63609471181317745</v>
      </c>
      <c r="T29" s="31">
        <f t="shared" si="2"/>
        <v>9.8901426005528773E-2</v>
      </c>
      <c r="U29" s="32">
        <f t="shared" si="3"/>
        <v>418.04025114999996</v>
      </c>
      <c r="V29" s="32">
        <f t="shared" si="4"/>
        <v>353.04241953999997</v>
      </c>
      <c r="W29" s="31">
        <v>0</v>
      </c>
      <c r="X29" s="31">
        <v>0</v>
      </c>
      <c r="Y29" s="33">
        <v>0</v>
      </c>
      <c r="Z29" s="33">
        <v>0</v>
      </c>
      <c r="AA29" s="33">
        <f t="shared" si="9"/>
        <v>0.40384625909868038</v>
      </c>
      <c r="AB29" s="33">
        <v>0</v>
      </c>
      <c r="AC29" s="66"/>
      <c r="AD29" s="50">
        <v>44767</v>
      </c>
      <c r="AE29" s="51">
        <v>180</v>
      </c>
      <c r="AF29" s="50">
        <v>45164</v>
      </c>
      <c r="AG29" s="30" t="s">
        <v>60</v>
      </c>
      <c r="AH29" s="66"/>
      <c r="AI29" s="34">
        <v>199179729.18000001</v>
      </c>
      <c r="AJ29" s="34">
        <f>+L29+AI29</f>
        <v>657198123.77999997</v>
      </c>
      <c r="AK29" s="34">
        <v>0</v>
      </c>
      <c r="AL29" s="34">
        <f>+AJ29+AK29</f>
        <v>657198123.77999997</v>
      </c>
      <c r="AM29" s="34">
        <v>64997831.609999999</v>
      </c>
      <c r="AN29" s="66"/>
      <c r="AO29" s="53">
        <v>0</v>
      </c>
      <c r="AP29" s="33">
        <v>6</v>
      </c>
      <c r="AQ29" s="33">
        <v>22</v>
      </c>
      <c r="AR29" s="33">
        <f>+AE29+AP29+AQ29</f>
        <v>208</v>
      </c>
      <c r="AS29" s="33">
        <v>115</v>
      </c>
      <c r="AT29" s="33">
        <f t="shared" si="18"/>
        <v>93</v>
      </c>
      <c r="AU29" s="68"/>
      <c r="AV29" s="75" t="s">
        <v>322</v>
      </c>
      <c r="AW29" s="62" t="s">
        <v>154</v>
      </c>
      <c r="AX29" s="59">
        <v>44768</v>
      </c>
      <c r="AY29" s="61">
        <v>190</v>
      </c>
      <c r="AZ29" s="57">
        <v>52114513.359999999</v>
      </c>
    </row>
    <row r="30" spans="1:52" s="58" customFormat="1" ht="180">
      <c r="A30" s="30">
        <v>29</v>
      </c>
      <c r="B30" s="30" t="s">
        <v>28</v>
      </c>
      <c r="C30" s="30" t="s">
        <v>29</v>
      </c>
      <c r="D30" s="30" t="s">
        <v>143</v>
      </c>
      <c r="E30" s="66"/>
      <c r="F30" s="30" t="s">
        <v>155</v>
      </c>
      <c r="G30" s="30" t="s">
        <v>156</v>
      </c>
      <c r="H30" s="30" t="s">
        <v>33</v>
      </c>
      <c r="I30" s="34" t="s">
        <v>157</v>
      </c>
      <c r="J30" s="50" t="s">
        <v>155</v>
      </c>
      <c r="K30" s="30" t="s">
        <v>290</v>
      </c>
      <c r="L30" s="34">
        <v>1494474968.3299999</v>
      </c>
      <c r="M30" s="66"/>
      <c r="N30" s="34">
        <v>0</v>
      </c>
      <c r="O30" s="34">
        <v>0</v>
      </c>
      <c r="P30" s="34">
        <f t="shared" si="12"/>
        <v>0</v>
      </c>
      <c r="Q30" s="34">
        <v>0</v>
      </c>
      <c r="R30" s="31">
        <v>0</v>
      </c>
      <c r="S30" s="31">
        <v>0</v>
      </c>
      <c r="T30" s="31">
        <v>0</v>
      </c>
      <c r="U30" s="32">
        <f t="shared" si="3"/>
        <v>0</v>
      </c>
      <c r="V30" s="32">
        <f t="shared" si="4"/>
        <v>0</v>
      </c>
      <c r="W30" s="31">
        <v>0</v>
      </c>
      <c r="X30" s="31">
        <v>0</v>
      </c>
      <c r="Y30" s="33">
        <v>0</v>
      </c>
      <c r="Z30" s="33">
        <v>0</v>
      </c>
      <c r="AA30" s="33">
        <v>0</v>
      </c>
      <c r="AB30" s="33">
        <v>0</v>
      </c>
      <c r="AC30" s="66"/>
      <c r="AD30" s="50" t="s">
        <v>93</v>
      </c>
      <c r="AE30" s="30">
        <v>230</v>
      </c>
      <c r="AF30" s="30" t="s">
        <v>297</v>
      </c>
      <c r="AG30" s="30" t="s">
        <v>118</v>
      </c>
      <c r="AH30" s="66"/>
      <c r="AI30" s="34">
        <v>0</v>
      </c>
      <c r="AJ30" s="34">
        <f t="shared" si="14"/>
        <v>1494474968.3299999</v>
      </c>
      <c r="AK30" s="34">
        <v>0</v>
      </c>
      <c r="AL30" s="34">
        <f t="shared" si="15"/>
        <v>1494474968.3299999</v>
      </c>
      <c r="AM30" s="34">
        <v>0</v>
      </c>
      <c r="AN30" s="66"/>
      <c r="AO30" s="53">
        <v>0</v>
      </c>
      <c r="AP30" s="33">
        <v>0</v>
      </c>
      <c r="AQ30" s="33">
        <v>0</v>
      </c>
      <c r="AR30" s="33">
        <v>0</v>
      </c>
      <c r="AS30" s="33">
        <v>0</v>
      </c>
      <c r="AT30" s="33">
        <v>0</v>
      </c>
      <c r="AU30" s="68"/>
      <c r="AV30" s="74" t="s">
        <v>304</v>
      </c>
      <c r="AW30" s="62" t="s">
        <v>160</v>
      </c>
      <c r="AX30" s="59" t="s">
        <v>253</v>
      </c>
      <c r="AY30" s="61" t="s">
        <v>253</v>
      </c>
      <c r="AZ30" s="57">
        <v>0</v>
      </c>
    </row>
    <row r="31" spans="1:52" s="58" customFormat="1" ht="90">
      <c r="A31" s="30">
        <v>31</v>
      </c>
      <c r="B31" s="30" t="s">
        <v>28</v>
      </c>
      <c r="C31" s="30" t="s">
        <v>29</v>
      </c>
      <c r="D31" s="30" t="s">
        <v>93</v>
      </c>
      <c r="E31" s="66"/>
      <c r="F31" s="30" t="s">
        <v>257</v>
      </c>
      <c r="G31" s="30" t="s">
        <v>161</v>
      </c>
      <c r="H31" s="30" t="s">
        <v>33</v>
      </c>
      <c r="I31" s="30" t="s">
        <v>272</v>
      </c>
      <c r="J31" s="50" t="s">
        <v>273</v>
      </c>
      <c r="K31" s="30" t="s">
        <v>41</v>
      </c>
      <c r="L31" s="34">
        <v>4550896475.7749996</v>
      </c>
      <c r="M31" s="66"/>
      <c r="N31" s="34">
        <v>0</v>
      </c>
      <c r="O31" s="34">
        <f t="shared" si="11"/>
        <v>0</v>
      </c>
      <c r="P31" s="34">
        <f t="shared" si="12"/>
        <v>0</v>
      </c>
      <c r="Q31" s="34">
        <v>0</v>
      </c>
      <c r="R31" s="31">
        <v>0</v>
      </c>
      <c r="S31" s="31">
        <v>0</v>
      </c>
      <c r="T31" s="31">
        <v>0</v>
      </c>
      <c r="U31" s="32">
        <v>0</v>
      </c>
      <c r="V31" s="32">
        <v>0</v>
      </c>
      <c r="W31" s="31">
        <v>0</v>
      </c>
      <c r="X31" s="31">
        <v>0</v>
      </c>
      <c r="Y31" s="33">
        <v>0</v>
      </c>
      <c r="Z31" s="33">
        <v>0</v>
      </c>
      <c r="AA31" s="33">
        <v>0</v>
      </c>
      <c r="AB31" s="33">
        <v>0</v>
      </c>
      <c r="AC31" s="66"/>
      <c r="AD31" s="50" t="s">
        <v>93</v>
      </c>
      <c r="AE31" s="30">
        <v>360</v>
      </c>
      <c r="AF31" s="63" t="s">
        <v>297</v>
      </c>
      <c r="AG31" s="30" t="s">
        <v>118</v>
      </c>
      <c r="AH31" s="66"/>
      <c r="AI31" s="34">
        <v>0</v>
      </c>
      <c r="AJ31" s="34">
        <f t="shared" si="14"/>
        <v>4550896475.7749996</v>
      </c>
      <c r="AK31" s="34">
        <v>0</v>
      </c>
      <c r="AL31" s="34">
        <f t="shared" si="15"/>
        <v>4550896475.7749996</v>
      </c>
      <c r="AM31" s="34">
        <v>0</v>
      </c>
      <c r="AN31" s="66"/>
      <c r="AO31" s="53">
        <v>0</v>
      </c>
      <c r="AP31" s="33">
        <v>0</v>
      </c>
      <c r="AQ31" s="33">
        <v>0</v>
      </c>
      <c r="AR31" s="33">
        <v>0</v>
      </c>
      <c r="AS31" s="33">
        <v>0</v>
      </c>
      <c r="AT31" s="33">
        <v>0</v>
      </c>
      <c r="AU31" s="68"/>
      <c r="AV31" s="74" t="s">
        <v>292</v>
      </c>
      <c r="AW31" s="62" t="s">
        <v>274</v>
      </c>
      <c r="AX31" s="59" t="s">
        <v>253</v>
      </c>
      <c r="AY31" s="61" t="s">
        <v>253</v>
      </c>
      <c r="AZ31" s="57">
        <v>0</v>
      </c>
    </row>
    <row r="32" spans="1:52" s="58" customFormat="1" ht="60">
      <c r="A32" s="30">
        <v>32</v>
      </c>
      <c r="B32" s="30" t="s">
        <v>28</v>
      </c>
      <c r="C32" s="30" t="s">
        <v>29</v>
      </c>
      <c r="D32" s="30" t="s">
        <v>93</v>
      </c>
      <c r="E32" s="66"/>
      <c r="F32" s="30" t="s">
        <v>258</v>
      </c>
      <c r="G32" s="30" t="s">
        <v>162</v>
      </c>
      <c r="H32" s="30" t="s">
        <v>33</v>
      </c>
      <c r="I32" s="30" t="s">
        <v>93</v>
      </c>
      <c r="J32" s="50" t="s">
        <v>93</v>
      </c>
      <c r="K32" s="30" t="s">
        <v>93</v>
      </c>
      <c r="L32" s="30" t="s">
        <v>93</v>
      </c>
      <c r="M32" s="66"/>
      <c r="N32" s="34">
        <v>0</v>
      </c>
      <c r="O32" s="34">
        <f t="shared" si="11"/>
        <v>0</v>
      </c>
      <c r="P32" s="34">
        <f t="shared" si="12"/>
        <v>0</v>
      </c>
      <c r="Q32" s="34">
        <v>0</v>
      </c>
      <c r="R32" s="31">
        <v>0</v>
      </c>
      <c r="S32" s="31">
        <v>0</v>
      </c>
      <c r="T32" s="31">
        <v>0</v>
      </c>
      <c r="U32" s="32">
        <v>0</v>
      </c>
      <c r="V32" s="32">
        <v>0</v>
      </c>
      <c r="W32" s="31">
        <v>0</v>
      </c>
      <c r="X32" s="31">
        <v>0</v>
      </c>
      <c r="Y32" s="33">
        <v>0</v>
      </c>
      <c r="Z32" s="33">
        <v>0</v>
      </c>
      <c r="AA32" s="33">
        <v>0</v>
      </c>
      <c r="AB32" s="33">
        <v>0</v>
      </c>
      <c r="AC32" s="66"/>
      <c r="AD32" s="50" t="s">
        <v>93</v>
      </c>
      <c r="AE32" s="30" t="s">
        <v>93</v>
      </c>
      <c r="AF32" s="63" t="s">
        <v>297</v>
      </c>
      <c r="AG32" s="30" t="s">
        <v>163</v>
      </c>
      <c r="AH32" s="66"/>
      <c r="AI32" s="34">
        <v>0</v>
      </c>
      <c r="AJ32" s="34">
        <v>0</v>
      </c>
      <c r="AK32" s="34">
        <v>0</v>
      </c>
      <c r="AL32" s="34">
        <f t="shared" si="15"/>
        <v>0</v>
      </c>
      <c r="AM32" s="34">
        <v>0</v>
      </c>
      <c r="AN32" s="66"/>
      <c r="AO32" s="53">
        <v>0</v>
      </c>
      <c r="AP32" s="33">
        <v>0</v>
      </c>
      <c r="AQ32" s="33">
        <v>0</v>
      </c>
      <c r="AR32" s="33">
        <v>0</v>
      </c>
      <c r="AS32" s="33">
        <v>0</v>
      </c>
      <c r="AT32" s="33">
        <v>0</v>
      </c>
      <c r="AU32" s="68"/>
      <c r="AV32" s="74" t="s">
        <v>260</v>
      </c>
      <c r="AW32" s="62" t="s">
        <v>93</v>
      </c>
      <c r="AX32" s="59" t="s">
        <v>253</v>
      </c>
      <c r="AY32" s="61" t="s">
        <v>253</v>
      </c>
      <c r="AZ32" s="57">
        <v>0</v>
      </c>
    </row>
    <row r="33" spans="1:52" s="58" customFormat="1" ht="45">
      <c r="A33" s="30">
        <v>33</v>
      </c>
      <c r="B33" s="30" t="s">
        <v>28</v>
      </c>
      <c r="C33" s="30" t="s">
        <v>29</v>
      </c>
      <c r="D33" s="30" t="s">
        <v>93</v>
      </c>
      <c r="E33" s="66"/>
      <c r="F33" s="30" t="s">
        <v>93</v>
      </c>
      <c r="G33" s="30" t="s">
        <v>298</v>
      </c>
      <c r="H33" s="30" t="s">
        <v>33</v>
      </c>
      <c r="I33" s="30" t="s">
        <v>275</v>
      </c>
      <c r="J33" s="50" t="s">
        <v>293</v>
      </c>
      <c r="K33" s="30" t="s">
        <v>93</v>
      </c>
      <c r="L33" s="34">
        <v>1119952350.79</v>
      </c>
      <c r="M33" s="66"/>
      <c r="N33" s="34">
        <v>0</v>
      </c>
      <c r="O33" s="34">
        <f t="shared" si="11"/>
        <v>0</v>
      </c>
      <c r="P33" s="34">
        <f t="shared" si="12"/>
        <v>0</v>
      </c>
      <c r="Q33" s="34">
        <v>0</v>
      </c>
      <c r="R33" s="31">
        <v>0</v>
      </c>
      <c r="S33" s="31">
        <v>0</v>
      </c>
      <c r="T33" s="31">
        <v>0</v>
      </c>
      <c r="U33" s="32">
        <v>0</v>
      </c>
      <c r="V33" s="32">
        <v>0</v>
      </c>
      <c r="W33" s="31">
        <v>0</v>
      </c>
      <c r="X33" s="31">
        <v>0</v>
      </c>
      <c r="Y33" s="33">
        <v>0</v>
      </c>
      <c r="Z33" s="33">
        <v>0</v>
      </c>
      <c r="AA33" s="33">
        <v>0</v>
      </c>
      <c r="AB33" s="33">
        <v>0</v>
      </c>
      <c r="AC33" s="66"/>
      <c r="AD33" s="50" t="s">
        <v>93</v>
      </c>
      <c r="AE33" s="30" t="s">
        <v>93</v>
      </c>
      <c r="AF33" s="30" t="s">
        <v>297</v>
      </c>
      <c r="AG33" s="30" t="s">
        <v>118</v>
      </c>
      <c r="AH33" s="66"/>
      <c r="AI33" s="34">
        <v>0</v>
      </c>
      <c r="AJ33" s="34">
        <f t="shared" si="14"/>
        <v>1119952350.79</v>
      </c>
      <c r="AK33" s="34">
        <v>0</v>
      </c>
      <c r="AL33" s="34">
        <f t="shared" si="15"/>
        <v>1119952350.79</v>
      </c>
      <c r="AM33" s="34">
        <v>0</v>
      </c>
      <c r="AN33" s="66"/>
      <c r="AO33" s="53">
        <v>0</v>
      </c>
      <c r="AP33" s="33">
        <v>0</v>
      </c>
      <c r="AQ33" s="33">
        <v>0</v>
      </c>
      <c r="AR33" s="33">
        <v>0</v>
      </c>
      <c r="AS33" s="33">
        <v>0</v>
      </c>
      <c r="AT33" s="33">
        <v>0</v>
      </c>
      <c r="AU33" s="68"/>
      <c r="AV33" s="74" t="s">
        <v>276</v>
      </c>
      <c r="AW33" s="62" t="s">
        <v>291</v>
      </c>
      <c r="AX33" s="59" t="s">
        <v>253</v>
      </c>
      <c r="AY33" s="61" t="s">
        <v>253</v>
      </c>
      <c r="AZ33" s="57">
        <v>0</v>
      </c>
    </row>
    <row r="34" spans="1:52" s="58" customFormat="1" ht="75">
      <c r="A34" s="30">
        <v>34</v>
      </c>
      <c r="B34" s="30" t="s">
        <v>28</v>
      </c>
      <c r="C34" s="30" t="s">
        <v>29</v>
      </c>
      <c r="D34" s="30" t="s">
        <v>93</v>
      </c>
      <c r="E34" s="66"/>
      <c r="F34" s="30" t="s">
        <v>259</v>
      </c>
      <c r="G34" s="30" t="s">
        <v>164</v>
      </c>
      <c r="H34" s="30" t="s">
        <v>33</v>
      </c>
      <c r="I34" s="30" t="s">
        <v>277</v>
      </c>
      <c r="J34" s="50" t="s">
        <v>278</v>
      </c>
      <c r="K34" s="30" t="s">
        <v>41</v>
      </c>
      <c r="L34" s="34">
        <v>2850027345.6399999</v>
      </c>
      <c r="M34" s="66"/>
      <c r="N34" s="34">
        <v>0</v>
      </c>
      <c r="O34" s="34">
        <f t="shared" si="11"/>
        <v>0</v>
      </c>
      <c r="P34" s="34">
        <f t="shared" si="12"/>
        <v>0</v>
      </c>
      <c r="Q34" s="34">
        <v>0</v>
      </c>
      <c r="R34" s="31">
        <v>0</v>
      </c>
      <c r="S34" s="31">
        <v>0</v>
      </c>
      <c r="T34" s="31">
        <v>0</v>
      </c>
      <c r="U34" s="32">
        <v>0</v>
      </c>
      <c r="V34" s="32">
        <v>0</v>
      </c>
      <c r="W34" s="31">
        <v>0</v>
      </c>
      <c r="X34" s="31">
        <v>0</v>
      </c>
      <c r="Y34" s="33">
        <v>0</v>
      </c>
      <c r="Z34" s="33">
        <v>0</v>
      </c>
      <c r="AA34" s="33">
        <v>0</v>
      </c>
      <c r="AB34" s="33">
        <v>0</v>
      </c>
      <c r="AC34" s="66"/>
      <c r="AD34" s="50" t="s">
        <v>93</v>
      </c>
      <c r="AE34" s="30">
        <v>300</v>
      </c>
      <c r="AF34" s="30" t="s">
        <v>297</v>
      </c>
      <c r="AG34" s="30" t="s">
        <v>118</v>
      </c>
      <c r="AH34" s="66"/>
      <c r="AI34" s="34">
        <v>0</v>
      </c>
      <c r="AJ34" s="34">
        <v>0</v>
      </c>
      <c r="AK34" s="34">
        <v>0</v>
      </c>
      <c r="AL34" s="34">
        <v>0</v>
      </c>
      <c r="AM34" s="34">
        <v>0</v>
      </c>
      <c r="AN34" s="66"/>
      <c r="AO34" s="53">
        <v>0</v>
      </c>
      <c r="AP34" s="33">
        <v>0</v>
      </c>
      <c r="AQ34" s="33">
        <v>0</v>
      </c>
      <c r="AR34" s="33">
        <v>0</v>
      </c>
      <c r="AS34" s="33">
        <v>0</v>
      </c>
      <c r="AT34" s="33">
        <v>0</v>
      </c>
      <c r="AU34" s="68"/>
      <c r="AV34" s="74" t="s">
        <v>294</v>
      </c>
      <c r="AW34" s="62" t="s">
        <v>295</v>
      </c>
      <c r="AX34" s="59" t="s">
        <v>253</v>
      </c>
      <c r="AY34" s="61" t="s">
        <v>253</v>
      </c>
      <c r="AZ34" s="57">
        <v>0</v>
      </c>
    </row>
    <row r="35" spans="1:52" s="58" customFormat="1" ht="60">
      <c r="A35" s="30">
        <v>35</v>
      </c>
      <c r="B35" s="30" t="s">
        <v>28</v>
      </c>
      <c r="C35" s="30" t="s">
        <v>29</v>
      </c>
      <c r="D35" s="30" t="s">
        <v>30</v>
      </c>
      <c r="E35" s="66"/>
      <c r="F35" s="30" t="s">
        <v>261</v>
      </c>
      <c r="G35" s="30" t="s">
        <v>165</v>
      </c>
      <c r="H35" s="30" t="s">
        <v>33</v>
      </c>
      <c r="I35" s="34" t="s">
        <v>166</v>
      </c>
      <c r="J35" s="50">
        <v>44798</v>
      </c>
      <c r="K35" s="30" t="s">
        <v>262</v>
      </c>
      <c r="L35" s="34">
        <v>612263380.35000002</v>
      </c>
      <c r="M35" s="66"/>
      <c r="N35" s="34">
        <f>+AJ35/1000000</f>
        <v>697.78995423000003</v>
      </c>
      <c r="O35" s="34">
        <f>+N35</f>
        <v>697.78995423000003</v>
      </c>
      <c r="P35" s="34">
        <f>+AM35/1000000</f>
        <v>160.63224747000001</v>
      </c>
      <c r="Q35" s="34">
        <f>123045717.26/1000000</f>
        <v>123.04571726</v>
      </c>
      <c r="R35" s="31">
        <f t="shared" ref="R35" si="21">+O35/N35</f>
        <v>1</v>
      </c>
      <c r="S35" s="31">
        <f t="shared" ref="S35" si="22">+Q35/N35</f>
        <v>0.17633632658953793</v>
      </c>
      <c r="T35" s="31">
        <f t="shared" ref="T35" si="23">+P35/N35</f>
        <v>0.23020143310497371</v>
      </c>
      <c r="U35" s="32">
        <f>+Q35-O35</f>
        <v>-574.74423696999997</v>
      </c>
      <c r="V35" s="32">
        <f t="shared" ref="V35" si="24">+Q35-P35</f>
        <v>-37.586530210000006</v>
      </c>
      <c r="W35" s="31">
        <f t="shared" ref="W35" si="25">+U35/O35</f>
        <v>-0.82366367341046198</v>
      </c>
      <c r="X35" s="31">
        <f t="shared" ref="X35" si="26">+V35/Q35</f>
        <v>-0.30546800853359507</v>
      </c>
      <c r="Y35" s="33">
        <f t="shared" ref="Y35" si="27">+Q35/O35</f>
        <v>0.17633632658953793</v>
      </c>
      <c r="Z35" s="33">
        <f>+Q35/P35</f>
        <v>0.7660088132862628</v>
      </c>
      <c r="AA35" s="33">
        <f t="shared" ref="AA35" si="28">+(N35-Q35)/(N35-P35)</f>
        <v>1.0699729888205691</v>
      </c>
      <c r="AB35" s="33">
        <f>+(N35/Y35)/(N35/AE35)+AP35</f>
        <v>2438.5219331517592</v>
      </c>
      <c r="AC35" s="66"/>
      <c r="AD35" s="50">
        <v>44896</v>
      </c>
      <c r="AE35" s="30">
        <v>430</v>
      </c>
      <c r="AF35" s="50">
        <v>45145</v>
      </c>
      <c r="AG35" s="30" t="s">
        <v>71</v>
      </c>
      <c r="AH35" s="66"/>
      <c r="AI35" s="34">
        <v>85526573.879999995</v>
      </c>
      <c r="AJ35" s="34">
        <f>+L35+AI35</f>
        <v>697789954.23000002</v>
      </c>
      <c r="AK35" s="34">
        <v>0</v>
      </c>
      <c r="AL35" s="34">
        <f t="shared" si="15"/>
        <v>697789954.23000002</v>
      </c>
      <c r="AM35" s="34">
        <v>160632247.47</v>
      </c>
      <c r="AN35" s="66"/>
      <c r="AO35" s="53">
        <f>+AS35/AR35</f>
        <v>0.2744186046511628</v>
      </c>
      <c r="AP35" s="33">
        <v>0</v>
      </c>
      <c r="AQ35" s="33">
        <v>0</v>
      </c>
      <c r="AR35" s="33">
        <f t="shared" ref="AR35" si="29">+AE35+AQ35+AP35</f>
        <v>430</v>
      </c>
      <c r="AS35" s="33">
        <v>118</v>
      </c>
      <c r="AT35" s="33">
        <f t="shared" ref="AT35" si="30">+AR35-AS35</f>
        <v>312</v>
      </c>
      <c r="AU35" s="68"/>
      <c r="AV35" s="74" t="s">
        <v>305</v>
      </c>
      <c r="AW35" s="62" t="s">
        <v>266</v>
      </c>
      <c r="AX35" s="59">
        <v>45014</v>
      </c>
      <c r="AY35" s="61">
        <v>78</v>
      </c>
      <c r="AZ35" s="57">
        <v>0</v>
      </c>
    </row>
    <row r="36" spans="1:52" s="58" customFormat="1" ht="330">
      <c r="A36" s="30">
        <v>36</v>
      </c>
      <c r="B36" s="30" t="s">
        <v>28</v>
      </c>
      <c r="C36" s="30" t="s">
        <v>29</v>
      </c>
      <c r="D36" s="30" t="s">
        <v>30</v>
      </c>
      <c r="E36" s="66"/>
      <c r="F36" s="30" t="s">
        <v>93</v>
      </c>
      <c r="G36" s="30" t="s">
        <v>167</v>
      </c>
      <c r="H36" s="30" t="s">
        <v>33</v>
      </c>
      <c r="I36" s="34" t="s">
        <v>168</v>
      </c>
      <c r="J36" s="50" t="s">
        <v>93</v>
      </c>
      <c r="K36" s="30" t="s">
        <v>93</v>
      </c>
      <c r="L36" s="30" t="s">
        <v>93</v>
      </c>
      <c r="M36" s="66"/>
      <c r="N36" s="34">
        <v>0</v>
      </c>
      <c r="O36" s="34">
        <f t="shared" si="11"/>
        <v>0</v>
      </c>
      <c r="P36" s="34">
        <f t="shared" si="12"/>
        <v>0</v>
      </c>
      <c r="Q36" s="34">
        <v>0</v>
      </c>
      <c r="R36" s="31">
        <v>0</v>
      </c>
      <c r="S36" s="31">
        <v>0</v>
      </c>
      <c r="T36" s="31">
        <v>0</v>
      </c>
      <c r="U36" s="32">
        <v>0</v>
      </c>
      <c r="V36" s="32">
        <v>0</v>
      </c>
      <c r="W36" s="31">
        <v>0</v>
      </c>
      <c r="X36" s="31">
        <v>0</v>
      </c>
      <c r="Y36" s="33">
        <v>0</v>
      </c>
      <c r="Z36" s="33">
        <v>0</v>
      </c>
      <c r="AA36" s="33">
        <v>0</v>
      </c>
      <c r="AB36" s="33">
        <v>0</v>
      </c>
      <c r="AC36" s="66"/>
      <c r="AD36" s="50" t="s">
        <v>93</v>
      </c>
      <c r="AE36" s="30" t="s">
        <v>93</v>
      </c>
      <c r="AF36" s="52" t="s">
        <v>297</v>
      </c>
      <c r="AG36" s="30" t="s">
        <v>159</v>
      </c>
      <c r="AH36" s="66"/>
      <c r="AI36" s="34">
        <v>0</v>
      </c>
      <c r="AJ36" s="34">
        <v>0</v>
      </c>
      <c r="AK36" s="34">
        <v>0</v>
      </c>
      <c r="AL36" s="34">
        <v>0</v>
      </c>
      <c r="AM36" s="34">
        <v>0</v>
      </c>
      <c r="AN36" s="66"/>
      <c r="AO36" s="53">
        <v>0</v>
      </c>
      <c r="AP36" s="33">
        <v>0</v>
      </c>
      <c r="AQ36" s="33">
        <v>0</v>
      </c>
      <c r="AR36" s="33">
        <v>0</v>
      </c>
      <c r="AS36" s="33">
        <v>0</v>
      </c>
      <c r="AT36" s="33">
        <v>0</v>
      </c>
      <c r="AU36" s="68"/>
      <c r="AV36" s="74" t="s">
        <v>323</v>
      </c>
      <c r="AW36" s="54" t="s">
        <v>169</v>
      </c>
      <c r="AX36" s="59" t="s">
        <v>253</v>
      </c>
      <c r="AY36" s="61" t="s">
        <v>253</v>
      </c>
      <c r="AZ36" s="57">
        <v>0</v>
      </c>
    </row>
    <row r="37" spans="1:52" s="58" customFormat="1" ht="60">
      <c r="A37" s="30">
        <v>37</v>
      </c>
      <c r="B37" s="30" t="s">
        <v>28</v>
      </c>
      <c r="C37" s="30" t="s">
        <v>29</v>
      </c>
      <c r="D37" s="30" t="s">
        <v>93</v>
      </c>
      <c r="E37" s="66"/>
      <c r="F37" s="30" t="s">
        <v>263</v>
      </c>
      <c r="G37" s="30" t="s">
        <v>170</v>
      </c>
      <c r="H37" s="30" t="s">
        <v>33</v>
      </c>
      <c r="I37" s="34" t="s">
        <v>171</v>
      </c>
      <c r="J37" s="50">
        <v>44918</v>
      </c>
      <c r="K37" s="30" t="s">
        <v>81</v>
      </c>
      <c r="L37" s="64">
        <v>1590810.16</v>
      </c>
      <c r="M37" s="66"/>
      <c r="N37" s="64">
        <v>0</v>
      </c>
      <c r="O37" s="64">
        <f t="shared" si="11"/>
        <v>0</v>
      </c>
      <c r="P37" s="64">
        <f t="shared" si="12"/>
        <v>0</v>
      </c>
      <c r="Q37" s="64">
        <v>0</v>
      </c>
      <c r="R37" s="31">
        <v>0</v>
      </c>
      <c r="S37" s="31">
        <v>0</v>
      </c>
      <c r="T37" s="31">
        <v>0</v>
      </c>
      <c r="U37" s="32">
        <v>0</v>
      </c>
      <c r="V37" s="32">
        <v>0</v>
      </c>
      <c r="W37" s="31">
        <v>0</v>
      </c>
      <c r="X37" s="31">
        <v>0</v>
      </c>
      <c r="Y37" s="33">
        <v>0</v>
      </c>
      <c r="Z37" s="33">
        <v>0</v>
      </c>
      <c r="AA37" s="33">
        <v>0</v>
      </c>
      <c r="AB37" s="33">
        <v>0</v>
      </c>
      <c r="AC37" s="66"/>
      <c r="AD37" s="50" t="s">
        <v>93</v>
      </c>
      <c r="AE37" s="33">
        <v>375</v>
      </c>
      <c r="AF37" s="30" t="s">
        <v>297</v>
      </c>
      <c r="AG37" s="30" t="s">
        <v>118</v>
      </c>
      <c r="AH37" s="66"/>
      <c r="AI37" s="64">
        <v>0</v>
      </c>
      <c r="AJ37" s="64">
        <f t="shared" si="14"/>
        <v>1590810.16</v>
      </c>
      <c r="AK37" s="64">
        <v>0</v>
      </c>
      <c r="AL37" s="64">
        <f t="shared" si="15"/>
        <v>1590810.16</v>
      </c>
      <c r="AM37" s="64">
        <v>0</v>
      </c>
      <c r="AN37" s="66"/>
      <c r="AO37" s="53">
        <v>0</v>
      </c>
      <c r="AP37" s="33">
        <v>0</v>
      </c>
      <c r="AQ37" s="33">
        <v>0</v>
      </c>
      <c r="AR37" s="33">
        <v>0</v>
      </c>
      <c r="AS37" s="33">
        <v>0</v>
      </c>
      <c r="AT37" s="33">
        <v>0</v>
      </c>
      <c r="AU37" s="68"/>
      <c r="AV37" s="74" t="s">
        <v>299</v>
      </c>
      <c r="AW37" s="62" t="s">
        <v>93</v>
      </c>
      <c r="AX37" s="59" t="s">
        <v>253</v>
      </c>
      <c r="AY37" s="61" t="s">
        <v>253</v>
      </c>
      <c r="AZ37" s="65">
        <v>0</v>
      </c>
    </row>
    <row r="38" spans="1:52" s="58" customFormat="1" ht="45">
      <c r="A38" s="30">
        <v>38</v>
      </c>
      <c r="B38" s="30" t="s">
        <v>28</v>
      </c>
      <c r="C38" s="30" t="s">
        <v>29</v>
      </c>
      <c r="D38" s="30" t="s">
        <v>93</v>
      </c>
      <c r="E38" s="66"/>
      <c r="F38" s="30" t="s">
        <v>93</v>
      </c>
      <c r="G38" s="30" t="s">
        <v>172</v>
      </c>
      <c r="H38" s="30" t="s">
        <v>33</v>
      </c>
      <c r="I38" s="30" t="s">
        <v>93</v>
      </c>
      <c r="J38" s="50" t="s">
        <v>93</v>
      </c>
      <c r="K38" s="30" t="s">
        <v>93</v>
      </c>
      <c r="L38" s="30" t="s">
        <v>93</v>
      </c>
      <c r="M38" s="66"/>
      <c r="N38" s="34">
        <v>0</v>
      </c>
      <c r="O38" s="34">
        <f t="shared" si="11"/>
        <v>0</v>
      </c>
      <c r="P38" s="34">
        <f t="shared" si="12"/>
        <v>0</v>
      </c>
      <c r="Q38" s="34">
        <v>0</v>
      </c>
      <c r="R38" s="31">
        <v>0</v>
      </c>
      <c r="S38" s="31">
        <v>0</v>
      </c>
      <c r="T38" s="31">
        <v>0</v>
      </c>
      <c r="U38" s="32">
        <v>0</v>
      </c>
      <c r="V38" s="32">
        <v>0</v>
      </c>
      <c r="W38" s="31">
        <v>0</v>
      </c>
      <c r="X38" s="31">
        <v>0</v>
      </c>
      <c r="Y38" s="33">
        <v>0</v>
      </c>
      <c r="Z38" s="33">
        <v>0</v>
      </c>
      <c r="AA38" s="33">
        <v>0</v>
      </c>
      <c r="AB38" s="33">
        <v>0</v>
      </c>
      <c r="AC38" s="66"/>
      <c r="AD38" s="50" t="s">
        <v>93</v>
      </c>
      <c r="AE38" s="30" t="s">
        <v>93</v>
      </c>
      <c r="AF38" s="30" t="s">
        <v>297</v>
      </c>
      <c r="AG38" s="30" t="s">
        <v>159</v>
      </c>
      <c r="AH38" s="66"/>
      <c r="AI38" s="34">
        <v>0</v>
      </c>
      <c r="AJ38" s="34">
        <v>0</v>
      </c>
      <c r="AK38" s="34">
        <v>0</v>
      </c>
      <c r="AL38" s="34">
        <v>0</v>
      </c>
      <c r="AM38" s="34">
        <v>0</v>
      </c>
      <c r="AN38" s="66"/>
      <c r="AO38" s="53">
        <v>0</v>
      </c>
      <c r="AP38" s="33">
        <v>0</v>
      </c>
      <c r="AQ38" s="33">
        <v>0</v>
      </c>
      <c r="AR38" s="33">
        <v>0</v>
      </c>
      <c r="AS38" s="33">
        <v>0</v>
      </c>
      <c r="AT38" s="33">
        <v>0</v>
      </c>
      <c r="AU38" s="68"/>
      <c r="AV38" s="74" t="s">
        <v>232</v>
      </c>
      <c r="AW38" s="62" t="s">
        <v>93</v>
      </c>
      <c r="AX38" s="59" t="s">
        <v>253</v>
      </c>
      <c r="AY38" s="61" t="s">
        <v>253</v>
      </c>
      <c r="AZ38" s="57">
        <v>0</v>
      </c>
    </row>
    <row r="39" spans="1:52" s="58" customFormat="1" ht="60">
      <c r="A39" s="30">
        <v>39</v>
      </c>
      <c r="B39" s="30" t="s">
        <v>28</v>
      </c>
      <c r="C39" s="30" t="s">
        <v>29</v>
      </c>
      <c r="D39" s="30" t="s">
        <v>93</v>
      </c>
      <c r="E39" s="66"/>
      <c r="F39" s="30" t="s">
        <v>93</v>
      </c>
      <c r="G39" s="30" t="s">
        <v>173</v>
      </c>
      <c r="H39" s="30" t="s">
        <v>33</v>
      </c>
      <c r="I39" s="30" t="s">
        <v>93</v>
      </c>
      <c r="J39" s="50" t="s">
        <v>93</v>
      </c>
      <c r="K39" s="30" t="s">
        <v>93</v>
      </c>
      <c r="L39" s="30" t="s">
        <v>174</v>
      </c>
      <c r="M39" s="66"/>
      <c r="N39" s="34">
        <v>0</v>
      </c>
      <c r="O39" s="34">
        <f t="shared" si="11"/>
        <v>0</v>
      </c>
      <c r="P39" s="34">
        <f t="shared" si="12"/>
        <v>0</v>
      </c>
      <c r="Q39" s="34">
        <v>0</v>
      </c>
      <c r="R39" s="31">
        <v>0</v>
      </c>
      <c r="S39" s="31">
        <v>0</v>
      </c>
      <c r="T39" s="31">
        <v>0</v>
      </c>
      <c r="U39" s="32">
        <v>0</v>
      </c>
      <c r="V39" s="32">
        <v>0</v>
      </c>
      <c r="W39" s="31">
        <v>0</v>
      </c>
      <c r="X39" s="31">
        <v>0</v>
      </c>
      <c r="Y39" s="33">
        <v>0</v>
      </c>
      <c r="Z39" s="33">
        <v>0</v>
      </c>
      <c r="AA39" s="33">
        <v>0</v>
      </c>
      <c r="AB39" s="33">
        <v>0</v>
      </c>
      <c r="AC39" s="66"/>
      <c r="AD39" s="50" t="s">
        <v>93</v>
      </c>
      <c r="AE39" s="30" t="s">
        <v>93</v>
      </c>
      <c r="AF39" s="30" t="s">
        <v>297</v>
      </c>
      <c r="AG39" s="30" t="s">
        <v>159</v>
      </c>
      <c r="AH39" s="66"/>
      <c r="AI39" s="34">
        <v>0</v>
      </c>
      <c r="AJ39" s="34">
        <v>0</v>
      </c>
      <c r="AK39" s="34">
        <v>0</v>
      </c>
      <c r="AL39" s="34">
        <v>0</v>
      </c>
      <c r="AM39" s="34">
        <v>0</v>
      </c>
      <c r="AN39" s="66"/>
      <c r="AO39" s="53">
        <v>0</v>
      </c>
      <c r="AP39" s="33">
        <v>0</v>
      </c>
      <c r="AQ39" s="33">
        <v>0</v>
      </c>
      <c r="AR39" s="33">
        <v>0</v>
      </c>
      <c r="AS39" s="33">
        <v>0</v>
      </c>
      <c r="AT39" s="33">
        <v>0</v>
      </c>
      <c r="AU39" s="68"/>
      <c r="AV39" s="74" t="s">
        <v>233</v>
      </c>
      <c r="AW39" s="62" t="s">
        <v>93</v>
      </c>
      <c r="AX39" s="59" t="s">
        <v>253</v>
      </c>
      <c r="AY39" s="61" t="s">
        <v>253</v>
      </c>
      <c r="AZ39" s="57">
        <v>0</v>
      </c>
    </row>
    <row r="40" spans="1:52" s="58" customFormat="1" ht="60">
      <c r="A40" s="30">
        <v>40</v>
      </c>
      <c r="B40" s="30" t="s">
        <v>28</v>
      </c>
      <c r="C40" s="30" t="s">
        <v>29</v>
      </c>
      <c r="D40" s="30" t="s">
        <v>93</v>
      </c>
      <c r="E40" s="66"/>
      <c r="F40" s="30" t="s">
        <v>93</v>
      </c>
      <c r="G40" s="30" t="s">
        <v>175</v>
      </c>
      <c r="H40" s="30" t="s">
        <v>33</v>
      </c>
      <c r="I40" s="30" t="s">
        <v>93</v>
      </c>
      <c r="J40" s="50" t="s">
        <v>93</v>
      </c>
      <c r="K40" s="30" t="s">
        <v>93</v>
      </c>
      <c r="L40" s="30" t="s">
        <v>174</v>
      </c>
      <c r="M40" s="66"/>
      <c r="N40" s="34">
        <v>0</v>
      </c>
      <c r="O40" s="34">
        <f t="shared" si="11"/>
        <v>0</v>
      </c>
      <c r="P40" s="34">
        <f t="shared" si="12"/>
        <v>0</v>
      </c>
      <c r="Q40" s="34">
        <v>0</v>
      </c>
      <c r="R40" s="31">
        <v>0</v>
      </c>
      <c r="S40" s="31">
        <v>0</v>
      </c>
      <c r="T40" s="31">
        <v>0</v>
      </c>
      <c r="U40" s="32">
        <v>0</v>
      </c>
      <c r="V40" s="32">
        <v>0</v>
      </c>
      <c r="W40" s="31">
        <v>0</v>
      </c>
      <c r="X40" s="31">
        <v>0</v>
      </c>
      <c r="Y40" s="33">
        <v>0</v>
      </c>
      <c r="Z40" s="33">
        <v>0</v>
      </c>
      <c r="AA40" s="33">
        <v>0</v>
      </c>
      <c r="AB40" s="33">
        <v>0</v>
      </c>
      <c r="AC40" s="66"/>
      <c r="AD40" s="50" t="s">
        <v>93</v>
      </c>
      <c r="AE40" s="30" t="s">
        <v>93</v>
      </c>
      <c r="AF40" s="30" t="s">
        <v>297</v>
      </c>
      <c r="AG40" s="30" t="s">
        <v>159</v>
      </c>
      <c r="AH40" s="66"/>
      <c r="AI40" s="34">
        <v>0</v>
      </c>
      <c r="AJ40" s="34">
        <v>0</v>
      </c>
      <c r="AK40" s="34">
        <v>0</v>
      </c>
      <c r="AL40" s="34">
        <v>0</v>
      </c>
      <c r="AM40" s="34">
        <v>0</v>
      </c>
      <c r="AN40" s="66"/>
      <c r="AO40" s="53">
        <v>0</v>
      </c>
      <c r="AP40" s="33">
        <v>0</v>
      </c>
      <c r="AQ40" s="33">
        <v>0</v>
      </c>
      <c r="AR40" s="33">
        <v>0</v>
      </c>
      <c r="AS40" s="33">
        <v>0</v>
      </c>
      <c r="AT40" s="33">
        <v>0</v>
      </c>
      <c r="AU40" s="68"/>
      <c r="AV40" s="74" t="s">
        <v>234</v>
      </c>
      <c r="AW40" s="62" t="s">
        <v>93</v>
      </c>
      <c r="AX40" s="59" t="s">
        <v>253</v>
      </c>
      <c r="AY40" s="61" t="s">
        <v>253</v>
      </c>
      <c r="AZ40" s="57">
        <v>0</v>
      </c>
    </row>
    <row r="41" spans="1:52" s="58" customFormat="1" ht="45">
      <c r="A41" s="30">
        <v>41</v>
      </c>
      <c r="B41" s="30" t="s">
        <v>28</v>
      </c>
      <c r="C41" s="30" t="s">
        <v>29</v>
      </c>
      <c r="D41" s="30" t="s">
        <v>93</v>
      </c>
      <c r="E41" s="66"/>
      <c r="F41" s="30" t="s">
        <v>93</v>
      </c>
      <c r="G41" s="30" t="s">
        <v>176</v>
      </c>
      <c r="H41" s="30" t="s">
        <v>33</v>
      </c>
      <c r="I41" s="30" t="s">
        <v>93</v>
      </c>
      <c r="J41" s="50" t="s">
        <v>93</v>
      </c>
      <c r="K41" s="30" t="s">
        <v>93</v>
      </c>
      <c r="L41" s="30" t="s">
        <v>93</v>
      </c>
      <c r="M41" s="66"/>
      <c r="N41" s="34">
        <v>0</v>
      </c>
      <c r="O41" s="34">
        <f t="shared" si="11"/>
        <v>0</v>
      </c>
      <c r="P41" s="34">
        <f t="shared" si="12"/>
        <v>0</v>
      </c>
      <c r="Q41" s="34">
        <v>0</v>
      </c>
      <c r="R41" s="31">
        <v>0</v>
      </c>
      <c r="S41" s="31">
        <v>0</v>
      </c>
      <c r="T41" s="31">
        <v>0</v>
      </c>
      <c r="U41" s="32">
        <v>0</v>
      </c>
      <c r="V41" s="32">
        <v>0</v>
      </c>
      <c r="W41" s="31">
        <v>0</v>
      </c>
      <c r="X41" s="31">
        <v>0</v>
      </c>
      <c r="Y41" s="33">
        <v>0</v>
      </c>
      <c r="Z41" s="33">
        <v>0</v>
      </c>
      <c r="AA41" s="33">
        <v>0</v>
      </c>
      <c r="AB41" s="33">
        <v>0</v>
      </c>
      <c r="AC41" s="66"/>
      <c r="AD41" s="50" t="s">
        <v>93</v>
      </c>
      <c r="AE41" s="30" t="s">
        <v>93</v>
      </c>
      <c r="AF41" s="30" t="s">
        <v>297</v>
      </c>
      <c r="AG41" s="30" t="s">
        <v>159</v>
      </c>
      <c r="AH41" s="66"/>
      <c r="AI41" s="34">
        <v>0</v>
      </c>
      <c r="AJ41" s="34">
        <v>0</v>
      </c>
      <c r="AK41" s="34">
        <v>0</v>
      </c>
      <c r="AL41" s="34">
        <v>0</v>
      </c>
      <c r="AM41" s="34">
        <v>0</v>
      </c>
      <c r="AN41" s="66"/>
      <c r="AO41" s="53">
        <v>0</v>
      </c>
      <c r="AP41" s="33">
        <v>0</v>
      </c>
      <c r="AQ41" s="33">
        <v>0</v>
      </c>
      <c r="AR41" s="33">
        <v>0</v>
      </c>
      <c r="AS41" s="33">
        <v>0</v>
      </c>
      <c r="AT41" s="33">
        <v>0</v>
      </c>
      <c r="AU41" s="68"/>
      <c r="AV41" s="74" t="s">
        <v>231</v>
      </c>
      <c r="AW41" s="62" t="s">
        <v>93</v>
      </c>
      <c r="AX41" s="59" t="s">
        <v>253</v>
      </c>
      <c r="AY41" s="61" t="s">
        <v>253</v>
      </c>
      <c r="AZ41" s="57">
        <v>0</v>
      </c>
    </row>
    <row r="42" spans="1:52" s="58" customFormat="1" ht="71.25" customHeight="1">
      <c r="A42" s="30">
        <v>42</v>
      </c>
      <c r="B42" s="30" t="s">
        <v>28</v>
      </c>
      <c r="C42" s="30" t="s">
        <v>29</v>
      </c>
      <c r="D42" s="30" t="s">
        <v>30</v>
      </c>
      <c r="E42" s="66"/>
      <c r="F42" s="30" t="s">
        <v>325</v>
      </c>
      <c r="G42" s="30" t="s">
        <v>324</v>
      </c>
      <c r="H42" s="30" t="s">
        <v>33</v>
      </c>
      <c r="I42" s="30" t="s">
        <v>326</v>
      </c>
      <c r="J42" s="50">
        <v>45000</v>
      </c>
      <c r="K42" s="30" t="s">
        <v>327</v>
      </c>
      <c r="L42" s="34">
        <v>1542371383.29</v>
      </c>
      <c r="M42" s="66"/>
      <c r="N42" s="34">
        <f>+AJ42/1000000</f>
        <v>1542.37138329</v>
      </c>
      <c r="O42" s="34">
        <f>+N42</f>
        <v>1542.37138329</v>
      </c>
      <c r="P42" s="34">
        <f>+AM42/1000000</f>
        <v>0</v>
      </c>
      <c r="Q42" s="34">
        <f>56107756.21/1000000</f>
        <v>56.107756209999998</v>
      </c>
      <c r="R42" s="31">
        <f t="shared" ref="R42" si="31">+O42/N42</f>
        <v>1</v>
      </c>
      <c r="S42" s="31">
        <f t="shared" ref="S42" si="32">+Q42/N42</f>
        <v>3.6377591556657207E-2</v>
      </c>
      <c r="T42" s="31">
        <f t="shared" ref="T42" si="33">+P42/N42</f>
        <v>0</v>
      </c>
      <c r="U42" s="32">
        <f t="shared" ref="U42" si="34">+Q42-O42</f>
        <v>-1486.2636270800001</v>
      </c>
      <c r="V42" s="32">
        <f t="shared" ref="V42" si="35">+Q42-P42</f>
        <v>56.107756209999998</v>
      </c>
      <c r="W42" s="31">
        <f t="shared" ref="W42" si="36">+U42/O42</f>
        <v>-0.96362240844334279</v>
      </c>
      <c r="X42" s="31">
        <f t="shared" ref="X42" si="37">+V42/Q42</f>
        <v>1</v>
      </c>
      <c r="Y42" s="33">
        <f t="shared" ref="Y42" si="38">+Q42/O42</f>
        <v>3.6377591556657207E-2</v>
      </c>
      <c r="Z42" s="33">
        <v>0</v>
      </c>
      <c r="AA42" s="33">
        <f t="shared" ref="AA42" si="39">+(N42-Q42)/(N42-P42)</f>
        <v>0.96362240844334279</v>
      </c>
      <c r="AB42" s="33">
        <f>+(N42/Y42)/(N42/AE42)+AP42</f>
        <v>4952.1010780951356</v>
      </c>
      <c r="AC42" s="66"/>
      <c r="AD42" s="50">
        <v>45051</v>
      </c>
      <c r="AE42" s="30">
        <v>180</v>
      </c>
      <c r="AF42" s="50">
        <v>45237</v>
      </c>
      <c r="AG42" s="30" t="s">
        <v>60</v>
      </c>
      <c r="AH42" s="66"/>
      <c r="AI42" s="34">
        <v>0</v>
      </c>
      <c r="AJ42" s="34">
        <f>+L42+AI42</f>
        <v>1542371383.29</v>
      </c>
      <c r="AK42" s="34">
        <v>0</v>
      </c>
      <c r="AL42" s="34">
        <f>+AJ42+AK42</f>
        <v>1542371383.29</v>
      </c>
      <c r="AM42" s="34">
        <v>0</v>
      </c>
      <c r="AN42" s="66"/>
      <c r="AO42" s="53">
        <f>+AS42/AR42</f>
        <v>0.13043478260869565</v>
      </c>
      <c r="AP42" s="33">
        <v>4</v>
      </c>
      <c r="AQ42" s="33">
        <v>0</v>
      </c>
      <c r="AR42" s="33">
        <f t="shared" ref="AR42" si="40">+AE42+AQ42+AP42</f>
        <v>184</v>
      </c>
      <c r="AS42" s="33">
        <v>24</v>
      </c>
      <c r="AT42" s="33">
        <f t="shared" ref="AT42" si="41">+AR42-AS42</f>
        <v>160</v>
      </c>
      <c r="AU42" s="68"/>
      <c r="AV42" s="74" t="s">
        <v>330</v>
      </c>
      <c r="AW42" s="62" t="s">
        <v>328</v>
      </c>
      <c r="AX42" s="59" t="s">
        <v>253</v>
      </c>
      <c r="AY42" s="61" t="s">
        <v>253</v>
      </c>
      <c r="AZ42" s="57">
        <v>51620411.82</v>
      </c>
    </row>
    <row r="43" spans="1:52" ht="15.75" customHeight="1">
      <c r="N43" s="24"/>
      <c r="O43" s="24"/>
      <c r="P43" s="24"/>
      <c r="Q43" s="24"/>
      <c r="R43" s="24"/>
      <c r="S43" s="24"/>
      <c r="T43" s="24"/>
      <c r="U43" s="24"/>
      <c r="V43" s="24"/>
      <c r="W43" s="24"/>
      <c r="X43" s="24"/>
      <c r="Y43" s="24"/>
      <c r="Z43" s="24"/>
      <c r="AA43" s="24"/>
      <c r="AB43" s="24"/>
    </row>
    <row r="44" spans="1:52" ht="15.75" customHeight="1">
      <c r="N44" s="24"/>
      <c r="O44" s="24"/>
      <c r="P44" s="24"/>
      <c r="Q44" s="24"/>
      <c r="R44" s="24"/>
      <c r="S44" s="24"/>
      <c r="T44" s="24"/>
      <c r="U44" s="24"/>
      <c r="V44" s="24"/>
      <c r="W44" s="24"/>
      <c r="X44" s="24"/>
      <c r="Y44" s="24"/>
      <c r="Z44" s="24"/>
      <c r="AA44" s="24"/>
      <c r="AB44" s="24"/>
    </row>
    <row r="45" spans="1:52" ht="15.75" customHeight="1">
      <c r="N45" s="24"/>
      <c r="O45" s="24"/>
      <c r="P45" s="24"/>
      <c r="Q45" s="24"/>
      <c r="R45" s="24"/>
      <c r="S45" s="24"/>
      <c r="T45" s="24"/>
      <c r="U45" s="24"/>
      <c r="V45" s="24"/>
      <c r="W45" s="24"/>
      <c r="X45" s="24"/>
      <c r="Y45" s="24"/>
      <c r="Z45" s="24"/>
      <c r="AA45" s="24"/>
      <c r="AB45" s="24"/>
    </row>
    <row r="46" spans="1:52" ht="15.75" customHeight="1">
      <c r="N46" s="24"/>
      <c r="O46" s="24"/>
      <c r="P46" s="24"/>
      <c r="Q46" s="24"/>
      <c r="R46" s="24"/>
      <c r="S46" s="24"/>
      <c r="T46" s="24"/>
      <c r="U46" s="24"/>
      <c r="V46" s="24"/>
      <c r="W46" s="24"/>
      <c r="X46" s="24"/>
      <c r="Y46" s="24"/>
      <c r="Z46" s="24"/>
      <c r="AA46" s="24"/>
      <c r="AB46" s="24"/>
    </row>
    <row r="47" spans="1:52" ht="15.75" customHeight="1">
      <c r="N47" s="24"/>
      <c r="O47" s="24"/>
      <c r="P47" s="24"/>
      <c r="Q47" s="24"/>
      <c r="R47" s="24"/>
      <c r="S47" s="24"/>
      <c r="T47" s="24"/>
      <c r="U47" s="24"/>
      <c r="V47" s="24"/>
      <c r="W47" s="24"/>
      <c r="X47" s="24"/>
      <c r="Y47" s="24"/>
      <c r="Z47" s="24"/>
      <c r="AA47" s="24"/>
      <c r="AB47" s="24"/>
    </row>
    <row r="48" spans="1:52" ht="15.75" customHeight="1">
      <c r="N48" s="24"/>
      <c r="O48" s="24"/>
      <c r="P48" s="24"/>
      <c r="Q48" s="24"/>
      <c r="R48" s="24"/>
      <c r="S48" s="24"/>
      <c r="T48" s="24"/>
      <c r="U48" s="24"/>
      <c r="V48" s="24"/>
      <c r="W48" s="24"/>
      <c r="X48" s="24"/>
      <c r="Y48" s="24"/>
      <c r="Z48" s="24"/>
      <c r="AA48" s="24"/>
      <c r="AB48" s="24"/>
    </row>
    <row r="49" spans="14:28" ht="15.75" customHeight="1">
      <c r="N49" s="24"/>
      <c r="O49" s="24"/>
      <c r="P49" s="24"/>
      <c r="Q49" s="24"/>
      <c r="R49" s="24"/>
      <c r="S49" s="24"/>
      <c r="T49" s="24"/>
      <c r="U49" s="24"/>
      <c r="V49" s="24"/>
      <c r="W49" s="24"/>
      <c r="X49" s="24"/>
      <c r="Y49" s="24"/>
      <c r="Z49" s="24"/>
      <c r="AA49" s="24"/>
      <c r="AB49" s="24"/>
    </row>
    <row r="50" spans="14:28" ht="15.75" customHeight="1">
      <c r="N50" s="24"/>
      <c r="O50" s="24"/>
      <c r="P50" s="24"/>
      <c r="Q50" s="24"/>
      <c r="R50" s="24"/>
      <c r="S50" s="24"/>
      <c r="T50" s="24"/>
      <c r="U50" s="24"/>
      <c r="V50" s="24"/>
      <c r="W50" s="24"/>
      <c r="X50" s="24"/>
      <c r="Y50" s="24"/>
      <c r="Z50" s="24"/>
      <c r="AA50" s="24"/>
      <c r="AB50" s="24"/>
    </row>
    <row r="51" spans="14:28" ht="15.75" customHeight="1">
      <c r="N51" s="24"/>
      <c r="O51" s="24"/>
      <c r="P51" s="24"/>
      <c r="Q51" s="24"/>
      <c r="R51" s="24"/>
      <c r="S51" s="24"/>
      <c r="T51" s="24"/>
      <c r="U51" s="24"/>
      <c r="V51" s="24"/>
      <c r="W51" s="24"/>
      <c r="X51" s="24"/>
      <c r="Y51" s="24"/>
      <c r="Z51" s="24"/>
      <c r="AA51" s="24"/>
      <c r="AB51" s="24"/>
    </row>
    <row r="52" spans="14:28" ht="15.75" customHeight="1">
      <c r="N52" s="24"/>
      <c r="O52" s="24"/>
      <c r="P52" s="24"/>
      <c r="Q52" s="24"/>
      <c r="R52" s="24"/>
      <c r="S52" s="24"/>
      <c r="T52" s="24"/>
      <c r="U52" s="24"/>
      <c r="V52" s="24"/>
      <c r="W52" s="24"/>
      <c r="X52" s="24"/>
      <c r="Y52" s="24"/>
      <c r="Z52" s="24"/>
      <c r="AA52" s="24"/>
      <c r="AB52" s="24"/>
    </row>
    <row r="53" spans="14:28" ht="15.75" customHeight="1">
      <c r="N53" s="24"/>
      <c r="O53" s="24"/>
      <c r="P53" s="24"/>
      <c r="Q53" s="24"/>
      <c r="R53" s="24"/>
      <c r="S53" s="24"/>
      <c r="T53" s="24"/>
      <c r="U53" s="24"/>
      <c r="V53" s="24"/>
      <c r="W53" s="24"/>
      <c r="X53" s="24"/>
      <c r="Y53" s="24"/>
      <c r="Z53" s="24"/>
      <c r="AA53" s="24"/>
      <c r="AB53" s="24"/>
    </row>
    <row r="54" spans="14:28" ht="15.75" customHeight="1">
      <c r="N54" s="24"/>
      <c r="O54" s="24"/>
      <c r="P54" s="24"/>
      <c r="Q54" s="24"/>
      <c r="R54" s="24"/>
      <c r="S54" s="24"/>
      <c r="T54" s="24"/>
      <c r="U54" s="24"/>
      <c r="V54" s="24"/>
      <c r="W54" s="24"/>
      <c r="X54" s="24"/>
      <c r="Y54" s="24"/>
      <c r="Z54" s="24"/>
      <c r="AA54" s="24"/>
      <c r="AB54" s="24"/>
    </row>
    <row r="55" spans="14:28" ht="15.75" customHeight="1">
      <c r="N55" s="24"/>
      <c r="O55" s="24"/>
      <c r="P55" s="24"/>
      <c r="Q55" s="24"/>
      <c r="R55" s="24"/>
      <c r="S55" s="24"/>
      <c r="T55" s="24"/>
      <c r="U55" s="24"/>
      <c r="V55" s="24"/>
      <c r="W55" s="24"/>
      <c r="X55" s="24"/>
      <c r="Y55" s="24"/>
      <c r="Z55" s="24"/>
      <c r="AA55" s="24"/>
      <c r="AB55" s="24"/>
    </row>
    <row r="56" spans="14:28" ht="15.75" customHeight="1">
      <c r="N56" s="24"/>
      <c r="O56" s="24"/>
      <c r="P56" s="24"/>
      <c r="Q56" s="24"/>
      <c r="R56" s="24"/>
      <c r="S56" s="24"/>
      <c r="T56" s="24"/>
      <c r="U56" s="24"/>
      <c r="V56" s="24"/>
      <c r="W56" s="24"/>
      <c r="X56" s="24"/>
      <c r="Y56" s="24"/>
      <c r="Z56" s="24"/>
      <c r="AA56" s="24"/>
      <c r="AB56" s="24"/>
    </row>
    <row r="57" spans="14:28" ht="15.75" customHeight="1">
      <c r="N57" s="24"/>
      <c r="O57" s="24"/>
      <c r="P57" s="24"/>
      <c r="Q57" s="24"/>
      <c r="R57" s="24"/>
      <c r="S57" s="24"/>
      <c r="T57" s="24"/>
      <c r="U57" s="24"/>
      <c r="V57" s="24"/>
      <c r="W57" s="24"/>
      <c r="X57" s="24"/>
      <c r="Y57" s="24"/>
      <c r="Z57" s="24"/>
      <c r="AA57" s="24"/>
      <c r="AB57" s="24"/>
    </row>
    <row r="58" spans="14:28" ht="15.75" customHeight="1">
      <c r="N58" s="24"/>
      <c r="O58" s="24"/>
      <c r="P58" s="24"/>
      <c r="Q58" s="24"/>
      <c r="R58" s="24"/>
      <c r="S58" s="24"/>
      <c r="T58" s="24"/>
      <c r="U58" s="24"/>
      <c r="V58" s="24"/>
      <c r="W58" s="24"/>
      <c r="X58" s="24"/>
      <c r="Y58" s="24"/>
      <c r="Z58" s="24"/>
      <c r="AA58" s="24"/>
      <c r="AB58" s="24"/>
    </row>
    <row r="59" spans="14:28" ht="15.75" customHeight="1">
      <c r="N59" s="24"/>
      <c r="O59" s="24"/>
      <c r="P59" s="24"/>
      <c r="Q59" s="24"/>
      <c r="R59" s="24"/>
      <c r="S59" s="24"/>
      <c r="T59" s="24"/>
      <c r="U59" s="24"/>
      <c r="V59" s="24"/>
      <c r="W59" s="24"/>
      <c r="X59" s="24"/>
      <c r="Y59" s="24"/>
      <c r="Z59" s="24"/>
      <c r="AA59" s="24"/>
      <c r="AB59" s="24"/>
    </row>
    <row r="60" spans="14:28" ht="15.75" customHeight="1">
      <c r="N60" s="24"/>
      <c r="O60" s="24"/>
      <c r="P60" s="24"/>
      <c r="Q60" s="24"/>
      <c r="R60" s="24"/>
      <c r="S60" s="24"/>
      <c r="T60" s="24"/>
      <c r="U60" s="24"/>
      <c r="V60" s="24"/>
      <c r="W60" s="24"/>
      <c r="X60" s="24"/>
      <c r="Y60" s="24"/>
      <c r="Z60" s="24"/>
      <c r="AA60" s="24"/>
      <c r="AB60" s="24"/>
    </row>
    <row r="61" spans="14:28" ht="15.75" customHeight="1">
      <c r="N61" s="24"/>
      <c r="O61" s="24"/>
      <c r="P61" s="24"/>
      <c r="Q61" s="24"/>
      <c r="R61" s="24"/>
      <c r="S61" s="24"/>
      <c r="T61" s="24"/>
      <c r="U61" s="24"/>
      <c r="V61" s="24"/>
      <c r="W61" s="24"/>
      <c r="X61" s="24"/>
      <c r="Y61" s="24"/>
      <c r="Z61" s="24"/>
      <c r="AA61" s="24"/>
      <c r="AB61" s="24"/>
    </row>
    <row r="62" spans="14:28" ht="15.75" customHeight="1">
      <c r="N62" s="24"/>
      <c r="O62" s="24"/>
      <c r="P62" s="24"/>
      <c r="Q62" s="24"/>
      <c r="R62" s="24"/>
      <c r="S62" s="24"/>
      <c r="T62" s="24"/>
      <c r="U62" s="24"/>
      <c r="V62" s="24"/>
      <c r="W62" s="24"/>
      <c r="X62" s="24"/>
      <c r="Y62" s="24"/>
      <c r="Z62" s="24"/>
      <c r="AA62" s="24"/>
      <c r="AB62" s="24"/>
    </row>
    <row r="63" spans="14:28" ht="15.75" customHeight="1">
      <c r="N63" s="24"/>
      <c r="O63" s="24"/>
      <c r="P63" s="24"/>
      <c r="Q63" s="24"/>
      <c r="R63" s="24"/>
      <c r="S63" s="24"/>
      <c r="T63" s="24"/>
      <c r="U63" s="24"/>
      <c r="V63" s="24"/>
      <c r="W63" s="24"/>
      <c r="X63" s="24"/>
      <c r="Y63" s="24"/>
      <c r="Z63" s="24"/>
      <c r="AA63" s="24"/>
      <c r="AB63" s="24"/>
    </row>
    <row r="64" spans="14:28" ht="15.75" customHeight="1">
      <c r="N64" s="24"/>
      <c r="O64" s="24"/>
      <c r="P64" s="24"/>
      <c r="Q64" s="24"/>
      <c r="R64" s="24"/>
      <c r="S64" s="24"/>
      <c r="T64" s="24"/>
      <c r="U64" s="24"/>
      <c r="V64" s="24"/>
      <c r="W64" s="24"/>
      <c r="X64" s="24"/>
      <c r="Y64" s="24"/>
      <c r="Z64" s="24"/>
      <c r="AA64" s="24"/>
      <c r="AB64" s="24"/>
    </row>
    <row r="65" spans="14:28" ht="15.75" customHeight="1">
      <c r="N65" s="24"/>
      <c r="O65" s="24"/>
      <c r="P65" s="24"/>
      <c r="Q65" s="24"/>
      <c r="R65" s="24"/>
      <c r="S65" s="24"/>
      <c r="T65" s="24"/>
      <c r="U65" s="24"/>
      <c r="V65" s="24"/>
      <c r="W65" s="24"/>
      <c r="X65" s="24"/>
      <c r="Y65" s="24"/>
      <c r="Z65" s="24"/>
      <c r="AA65" s="24"/>
      <c r="AB65" s="24"/>
    </row>
    <row r="66" spans="14:28" ht="15.75" customHeight="1">
      <c r="N66" s="24"/>
      <c r="O66" s="24"/>
      <c r="P66" s="24"/>
      <c r="Q66" s="24"/>
      <c r="R66" s="24"/>
      <c r="S66" s="24"/>
      <c r="T66" s="24"/>
      <c r="U66" s="24"/>
      <c r="V66" s="24"/>
      <c r="W66" s="24"/>
      <c r="X66" s="24"/>
      <c r="Y66" s="24"/>
      <c r="Z66" s="24"/>
      <c r="AA66" s="24"/>
      <c r="AB66" s="24"/>
    </row>
    <row r="67" spans="14:28" ht="15.75" customHeight="1">
      <c r="N67" s="24"/>
      <c r="O67" s="24"/>
      <c r="P67" s="24"/>
      <c r="Q67" s="24"/>
      <c r="R67" s="24"/>
      <c r="S67" s="24"/>
      <c r="T67" s="24"/>
      <c r="U67" s="24"/>
      <c r="V67" s="24"/>
      <c r="W67" s="24"/>
      <c r="X67" s="24"/>
      <c r="Y67" s="24"/>
      <c r="Z67" s="24"/>
      <c r="AA67" s="24"/>
      <c r="AB67" s="24"/>
    </row>
    <row r="68" spans="14:28" ht="15.75" customHeight="1">
      <c r="N68" s="24"/>
      <c r="O68" s="24"/>
      <c r="P68" s="24"/>
      <c r="Q68" s="24"/>
      <c r="R68" s="24"/>
      <c r="S68" s="24"/>
      <c r="T68" s="24"/>
      <c r="U68" s="24"/>
      <c r="V68" s="24"/>
      <c r="W68" s="24"/>
      <c r="X68" s="24"/>
      <c r="Y68" s="24"/>
      <c r="Z68" s="24"/>
      <c r="AA68" s="24"/>
      <c r="AB68" s="24"/>
    </row>
    <row r="69" spans="14:28" ht="15.75" customHeight="1">
      <c r="N69" s="24"/>
      <c r="O69" s="24"/>
      <c r="P69" s="24"/>
      <c r="Q69" s="24"/>
      <c r="R69" s="24"/>
      <c r="S69" s="24"/>
      <c r="T69" s="24"/>
      <c r="U69" s="24"/>
      <c r="V69" s="24"/>
      <c r="W69" s="24"/>
      <c r="X69" s="24"/>
      <c r="Y69" s="24"/>
      <c r="Z69" s="24"/>
      <c r="AA69" s="24"/>
      <c r="AB69" s="24"/>
    </row>
    <row r="70" spans="14:28" ht="15.75" customHeight="1">
      <c r="N70" s="24"/>
      <c r="O70" s="24"/>
      <c r="P70" s="24"/>
      <c r="Q70" s="24"/>
      <c r="R70" s="24"/>
      <c r="S70" s="24"/>
      <c r="T70" s="24"/>
      <c r="U70" s="24"/>
      <c r="V70" s="24"/>
      <c r="W70" s="24"/>
      <c r="X70" s="24"/>
      <c r="Y70" s="24"/>
      <c r="Z70" s="24"/>
      <c r="AA70" s="24"/>
      <c r="AB70" s="24"/>
    </row>
    <row r="71" spans="14:28" ht="15.75" customHeight="1">
      <c r="N71" s="24"/>
      <c r="O71" s="24"/>
      <c r="P71" s="24"/>
      <c r="Q71" s="24"/>
      <c r="R71" s="24"/>
      <c r="S71" s="24"/>
      <c r="T71" s="24"/>
      <c r="U71" s="24"/>
      <c r="V71" s="24"/>
      <c r="W71" s="24"/>
      <c r="X71" s="24"/>
      <c r="Y71" s="24"/>
      <c r="Z71" s="24"/>
      <c r="AA71" s="24"/>
      <c r="AB71" s="24"/>
    </row>
    <row r="72" spans="14:28" ht="15.75" customHeight="1">
      <c r="N72" s="24"/>
      <c r="O72" s="24"/>
      <c r="P72" s="24"/>
      <c r="Q72" s="24"/>
      <c r="R72" s="24"/>
      <c r="S72" s="24"/>
      <c r="T72" s="24"/>
      <c r="U72" s="24"/>
      <c r="V72" s="24"/>
      <c r="W72" s="24"/>
      <c r="X72" s="24"/>
      <c r="Y72" s="24"/>
      <c r="Z72" s="24"/>
      <c r="AA72" s="24"/>
      <c r="AB72" s="24"/>
    </row>
    <row r="73" spans="14:28" ht="15.75" customHeight="1">
      <c r="N73" s="24"/>
      <c r="O73" s="24"/>
      <c r="P73" s="24"/>
      <c r="Q73" s="24"/>
      <c r="R73" s="24"/>
      <c r="S73" s="24"/>
      <c r="T73" s="24"/>
      <c r="U73" s="24"/>
      <c r="V73" s="24"/>
      <c r="W73" s="24"/>
      <c r="X73" s="24"/>
      <c r="Y73" s="24"/>
      <c r="Z73" s="24"/>
      <c r="AA73" s="24"/>
      <c r="AB73" s="24"/>
    </row>
    <row r="74" spans="14:28" ht="15.75" customHeight="1">
      <c r="N74" s="24"/>
      <c r="O74" s="24"/>
      <c r="P74" s="24"/>
      <c r="Q74" s="24"/>
      <c r="R74" s="24"/>
      <c r="S74" s="24"/>
      <c r="T74" s="24"/>
      <c r="U74" s="24"/>
      <c r="V74" s="24"/>
      <c r="W74" s="24"/>
      <c r="X74" s="24"/>
      <c r="Y74" s="24"/>
      <c r="Z74" s="24"/>
      <c r="AA74" s="24"/>
      <c r="AB74" s="24"/>
    </row>
    <row r="75" spans="14:28" ht="15.75" customHeight="1">
      <c r="N75" s="24"/>
      <c r="O75" s="24"/>
      <c r="P75" s="24"/>
      <c r="Q75" s="24"/>
      <c r="R75" s="24"/>
      <c r="S75" s="24"/>
      <c r="T75" s="24"/>
      <c r="U75" s="24"/>
      <c r="V75" s="24"/>
      <c r="W75" s="24"/>
      <c r="X75" s="24"/>
      <c r="Y75" s="24"/>
      <c r="Z75" s="24"/>
      <c r="AA75" s="24"/>
      <c r="AB75" s="24"/>
    </row>
    <row r="76" spans="14:28" ht="15.75" customHeight="1">
      <c r="N76" s="24"/>
      <c r="O76" s="24"/>
      <c r="P76" s="24"/>
      <c r="Q76" s="24"/>
      <c r="R76" s="24"/>
      <c r="S76" s="24"/>
      <c r="T76" s="24"/>
      <c r="U76" s="24"/>
      <c r="V76" s="24"/>
      <c r="W76" s="24"/>
      <c r="X76" s="24"/>
      <c r="Y76" s="24"/>
      <c r="Z76" s="24"/>
      <c r="AA76" s="24"/>
      <c r="AB76" s="24"/>
    </row>
    <row r="77" spans="14:28" ht="15.75" customHeight="1">
      <c r="N77" s="24"/>
      <c r="O77" s="24"/>
      <c r="P77" s="24"/>
      <c r="Q77" s="24"/>
      <c r="R77" s="24"/>
      <c r="S77" s="24"/>
      <c r="T77" s="24"/>
      <c r="U77" s="24"/>
      <c r="V77" s="24"/>
      <c r="W77" s="24"/>
      <c r="X77" s="24"/>
      <c r="Y77" s="24"/>
      <c r="Z77" s="24"/>
      <c r="AA77" s="24"/>
      <c r="AB77" s="24"/>
    </row>
    <row r="78" spans="14:28" ht="15.75" customHeight="1">
      <c r="N78" s="24"/>
      <c r="O78" s="24"/>
      <c r="P78" s="24"/>
      <c r="Q78" s="24"/>
      <c r="R78" s="24"/>
      <c r="S78" s="24"/>
      <c r="T78" s="24"/>
      <c r="U78" s="24"/>
      <c r="V78" s="24"/>
      <c r="W78" s="24"/>
      <c r="X78" s="24"/>
      <c r="Y78" s="24"/>
      <c r="Z78" s="24"/>
      <c r="AA78" s="24"/>
      <c r="AB78" s="24"/>
    </row>
    <row r="79" spans="14:28" ht="15.75" customHeight="1">
      <c r="N79" s="24"/>
      <c r="O79" s="24"/>
      <c r="P79" s="24"/>
      <c r="Q79" s="24"/>
      <c r="R79" s="24"/>
      <c r="S79" s="24"/>
      <c r="T79" s="24"/>
      <c r="U79" s="24"/>
      <c r="V79" s="24"/>
      <c r="W79" s="24"/>
      <c r="X79" s="24"/>
      <c r="Y79" s="24"/>
      <c r="Z79" s="24"/>
      <c r="AA79" s="24"/>
      <c r="AB79" s="24"/>
    </row>
    <row r="80" spans="14:28" ht="15.75" customHeight="1">
      <c r="N80" s="24"/>
      <c r="O80" s="24"/>
      <c r="P80" s="24"/>
      <c r="Q80" s="24"/>
      <c r="R80" s="24"/>
      <c r="S80" s="24"/>
      <c r="T80" s="24"/>
      <c r="U80" s="24"/>
      <c r="V80" s="24"/>
      <c r="W80" s="24"/>
      <c r="X80" s="24"/>
      <c r="Y80" s="24"/>
      <c r="Z80" s="24"/>
      <c r="AA80" s="24"/>
      <c r="AB80" s="24"/>
    </row>
    <row r="81" spans="14:28" ht="15.75" customHeight="1">
      <c r="N81" s="24"/>
      <c r="O81" s="24"/>
      <c r="P81" s="24"/>
      <c r="Q81" s="24"/>
      <c r="R81" s="24"/>
      <c r="S81" s="24"/>
      <c r="T81" s="24"/>
      <c r="U81" s="24"/>
      <c r="V81" s="24"/>
      <c r="W81" s="24"/>
      <c r="X81" s="24"/>
      <c r="Y81" s="24"/>
      <c r="Z81" s="24"/>
      <c r="AA81" s="24"/>
      <c r="AB81" s="24"/>
    </row>
    <row r="82" spans="14:28" ht="15.75" customHeight="1">
      <c r="N82" s="24"/>
      <c r="O82" s="24"/>
      <c r="P82" s="24"/>
      <c r="Q82" s="24"/>
      <c r="R82" s="24"/>
      <c r="S82" s="24"/>
      <c r="T82" s="24"/>
      <c r="U82" s="24"/>
      <c r="V82" s="24"/>
      <c r="W82" s="24"/>
      <c r="X82" s="24"/>
      <c r="Y82" s="24"/>
      <c r="Z82" s="24"/>
      <c r="AA82" s="24"/>
      <c r="AB82" s="24"/>
    </row>
    <row r="83" spans="14:28" ht="15.75" customHeight="1">
      <c r="N83" s="24"/>
      <c r="O83" s="24"/>
      <c r="P83" s="24"/>
      <c r="Q83" s="24"/>
      <c r="R83" s="24"/>
      <c r="S83" s="24"/>
      <c r="T83" s="24"/>
      <c r="U83" s="24"/>
      <c r="V83" s="24"/>
      <c r="W83" s="24"/>
      <c r="X83" s="24"/>
      <c r="Y83" s="24"/>
      <c r="Z83" s="24"/>
      <c r="AA83" s="24"/>
      <c r="AB83" s="24"/>
    </row>
    <row r="84" spans="14:28" ht="15.75" customHeight="1">
      <c r="N84" s="24"/>
      <c r="O84" s="24"/>
      <c r="P84" s="24"/>
      <c r="Q84" s="24"/>
      <c r="R84" s="24"/>
      <c r="S84" s="24"/>
      <c r="T84" s="24"/>
      <c r="U84" s="24"/>
      <c r="V84" s="24"/>
      <c r="W84" s="24"/>
      <c r="X84" s="24"/>
      <c r="Y84" s="24"/>
      <c r="Z84" s="24"/>
      <c r="AA84" s="24"/>
      <c r="AB84" s="24"/>
    </row>
    <row r="85" spans="14:28" ht="15.75" customHeight="1">
      <c r="N85" s="24"/>
      <c r="O85" s="24"/>
      <c r="P85" s="24"/>
      <c r="Q85" s="24"/>
      <c r="R85" s="24"/>
      <c r="S85" s="24"/>
      <c r="T85" s="24"/>
      <c r="U85" s="24"/>
      <c r="V85" s="24"/>
      <c r="W85" s="24"/>
      <c r="X85" s="24"/>
      <c r="Y85" s="24"/>
      <c r="Z85" s="24"/>
      <c r="AA85" s="24"/>
      <c r="AB85" s="24"/>
    </row>
    <row r="86" spans="14:28" ht="15.75" customHeight="1">
      <c r="N86" s="24"/>
      <c r="O86" s="24"/>
      <c r="P86" s="24"/>
      <c r="Q86" s="24"/>
      <c r="R86" s="24"/>
      <c r="S86" s="24"/>
      <c r="T86" s="24"/>
      <c r="U86" s="24"/>
      <c r="V86" s="24"/>
      <c r="W86" s="24"/>
      <c r="X86" s="24"/>
      <c r="Y86" s="24"/>
      <c r="Z86" s="24"/>
      <c r="AA86" s="24"/>
      <c r="AB86" s="24"/>
    </row>
    <row r="87" spans="14:28" ht="15.75" customHeight="1">
      <c r="N87" s="24"/>
      <c r="O87" s="24"/>
      <c r="P87" s="24"/>
      <c r="Q87" s="24"/>
      <c r="R87" s="24"/>
      <c r="S87" s="24"/>
      <c r="T87" s="24"/>
      <c r="U87" s="24"/>
      <c r="V87" s="24"/>
      <c r="W87" s="24"/>
      <c r="X87" s="24"/>
      <c r="Y87" s="24"/>
      <c r="Z87" s="24"/>
      <c r="AA87" s="24"/>
      <c r="AB87" s="24"/>
    </row>
    <row r="88" spans="14:28" ht="15.75" customHeight="1">
      <c r="N88" s="24"/>
      <c r="O88" s="24"/>
      <c r="P88" s="24"/>
      <c r="Q88" s="24"/>
      <c r="R88" s="24"/>
      <c r="S88" s="24"/>
      <c r="T88" s="24"/>
      <c r="U88" s="24"/>
      <c r="V88" s="24"/>
      <c r="W88" s="24"/>
      <c r="X88" s="24"/>
      <c r="Y88" s="24"/>
      <c r="Z88" s="24"/>
      <c r="AA88" s="24"/>
      <c r="AB88" s="24"/>
    </row>
    <row r="89" spans="14:28" ht="15.75" customHeight="1">
      <c r="N89" s="24"/>
      <c r="O89" s="24"/>
      <c r="P89" s="24"/>
      <c r="Q89" s="24"/>
      <c r="R89" s="24"/>
      <c r="S89" s="24"/>
      <c r="T89" s="24"/>
      <c r="U89" s="24"/>
      <c r="V89" s="24"/>
      <c r="W89" s="24"/>
      <c r="X89" s="24"/>
      <c r="Y89" s="24"/>
      <c r="Z89" s="24"/>
      <c r="AA89" s="24"/>
      <c r="AB89" s="24"/>
    </row>
    <row r="90" spans="14:28" ht="15.75" customHeight="1">
      <c r="N90" s="24"/>
      <c r="O90" s="24"/>
      <c r="P90" s="24"/>
      <c r="Q90" s="24"/>
      <c r="R90" s="24"/>
      <c r="S90" s="24"/>
      <c r="T90" s="24"/>
      <c r="U90" s="24"/>
      <c r="V90" s="24"/>
      <c r="W90" s="24"/>
      <c r="X90" s="24"/>
      <c r="Y90" s="24"/>
      <c r="Z90" s="24"/>
      <c r="AA90" s="24"/>
      <c r="AB90" s="24"/>
    </row>
    <row r="91" spans="14:28" ht="15.75" customHeight="1">
      <c r="N91" s="24"/>
      <c r="O91" s="24"/>
      <c r="P91" s="24"/>
      <c r="Q91" s="24"/>
      <c r="R91" s="24"/>
      <c r="S91" s="24"/>
      <c r="T91" s="24"/>
      <c r="U91" s="24"/>
      <c r="V91" s="24"/>
      <c r="W91" s="24"/>
      <c r="X91" s="24"/>
      <c r="Y91" s="24"/>
      <c r="Z91" s="24"/>
      <c r="AA91" s="24"/>
      <c r="AB91" s="24"/>
    </row>
    <row r="92" spans="14:28" ht="15.75" customHeight="1">
      <c r="N92" s="24"/>
      <c r="O92" s="24"/>
      <c r="P92" s="24"/>
      <c r="Q92" s="24"/>
      <c r="R92" s="24"/>
      <c r="S92" s="24"/>
      <c r="T92" s="24"/>
      <c r="U92" s="24"/>
      <c r="V92" s="24"/>
      <c r="W92" s="24"/>
      <c r="X92" s="24"/>
      <c r="Y92" s="24"/>
      <c r="Z92" s="24"/>
      <c r="AA92" s="24"/>
      <c r="AB92" s="24"/>
    </row>
    <row r="93" spans="14:28" ht="15.75" customHeight="1">
      <c r="N93" s="24"/>
      <c r="O93" s="24"/>
      <c r="P93" s="24"/>
      <c r="Q93" s="24"/>
      <c r="R93" s="24"/>
      <c r="S93" s="24"/>
      <c r="T93" s="24"/>
      <c r="U93" s="24"/>
      <c r="V93" s="24"/>
      <c r="W93" s="24"/>
      <c r="X93" s="24"/>
      <c r="Y93" s="24"/>
      <c r="Z93" s="24"/>
      <c r="AA93" s="24"/>
      <c r="AB93" s="24"/>
    </row>
    <row r="94" spans="14:28" ht="15.75" customHeight="1">
      <c r="N94" s="24"/>
      <c r="O94" s="24"/>
      <c r="P94" s="24"/>
      <c r="Q94" s="24"/>
      <c r="R94" s="24"/>
      <c r="S94" s="24"/>
      <c r="T94" s="24"/>
      <c r="U94" s="24"/>
      <c r="V94" s="24"/>
      <c r="W94" s="24"/>
      <c r="X94" s="24"/>
      <c r="Y94" s="24"/>
      <c r="Z94" s="24"/>
      <c r="AA94" s="24"/>
      <c r="AB94" s="24"/>
    </row>
    <row r="95" spans="14:28" ht="15.75" customHeight="1">
      <c r="N95" s="24"/>
      <c r="O95" s="24"/>
      <c r="P95" s="24"/>
      <c r="Q95" s="24"/>
      <c r="R95" s="24"/>
      <c r="S95" s="24"/>
      <c r="T95" s="24"/>
      <c r="U95" s="24"/>
      <c r="V95" s="24"/>
      <c r="W95" s="24"/>
      <c r="X95" s="24"/>
      <c r="Y95" s="24"/>
      <c r="Z95" s="24"/>
      <c r="AA95" s="24"/>
      <c r="AB95" s="24"/>
    </row>
    <row r="96" spans="14:28" ht="15.75" customHeight="1">
      <c r="N96" s="24"/>
      <c r="O96" s="24"/>
      <c r="P96" s="24"/>
      <c r="Q96" s="24"/>
      <c r="R96" s="24"/>
      <c r="S96" s="24"/>
      <c r="T96" s="24"/>
      <c r="U96" s="24"/>
      <c r="V96" s="24"/>
      <c r="W96" s="24"/>
      <c r="X96" s="24"/>
      <c r="Y96" s="24"/>
      <c r="Z96" s="24"/>
      <c r="AA96" s="24"/>
      <c r="AB96" s="24"/>
    </row>
    <row r="97" spans="14:28" ht="15.75" customHeight="1">
      <c r="N97" s="24"/>
      <c r="O97" s="24"/>
      <c r="P97" s="24"/>
      <c r="Q97" s="24"/>
      <c r="R97" s="24"/>
      <c r="S97" s="24"/>
      <c r="T97" s="24"/>
      <c r="U97" s="24"/>
      <c r="V97" s="24"/>
      <c r="W97" s="24"/>
      <c r="X97" s="24"/>
      <c r="Y97" s="24"/>
      <c r="Z97" s="24"/>
      <c r="AA97" s="24"/>
      <c r="AB97" s="24"/>
    </row>
    <row r="98" spans="14:28" ht="15.75" customHeight="1">
      <c r="N98" s="24"/>
      <c r="O98" s="24"/>
      <c r="P98" s="24"/>
      <c r="Q98" s="24"/>
      <c r="R98" s="24"/>
      <c r="S98" s="24"/>
      <c r="T98" s="24"/>
      <c r="U98" s="24"/>
      <c r="V98" s="24"/>
      <c r="W98" s="24"/>
      <c r="X98" s="24"/>
      <c r="Y98" s="24"/>
      <c r="Z98" s="24"/>
      <c r="AA98" s="24"/>
      <c r="AB98" s="24"/>
    </row>
    <row r="99" spans="14:28" ht="15.75" customHeight="1">
      <c r="N99" s="24"/>
      <c r="O99" s="24"/>
      <c r="P99" s="24"/>
      <c r="Q99" s="24"/>
      <c r="R99" s="24"/>
      <c r="S99" s="24"/>
      <c r="T99" s="24"/>
      <c r="U99" s="24"/>
      <c r="V99" s="24"/>
      <c r="W99" s="24"/>
      <c r="X99" s="24"/>
      <c r="Y99" s="24"/>
      <c r="Z99" s="24"/>
      <c r="AA99" s="24"/>
      <c r="AB99" s="24"/>
    </row>
    <row r="100" spans="14:28" ht="15.75" customHeight="1">
      <c r="N100" s="24"/>
      <c r="O100" s="24"/>
      <c r="P100" s="24"/>
      <c r="Q100" s="24"/>
      <c r="R100" s="24"/>
      <c r="S100" s="24"/>
      <c r="T100" s="24"/>
      <c r="U100" s="24"/>
      <c r="V100" s="24"/>
      <c r="W100" s="24"/>
      <c r="X100" s="24"/>
      <c r="Y100" s="24"/>
      <c r="Z100" s="24"/>
      <c r="AA100" s="24"/>
      <c r="AB100" s="24"/>
    </row>
    <row r="101" spans="14:28" ht="15.75" customHeight="1">
      <c r="N101" s="24"/>
      <c r="O101" s="24"/>
      <c r="P101" s="24"/>
      <c r="Q101" s="24"/>
      <c r="R101" s="24"/>
      <c r="S101" s="24"/>
      <c r="T101" s="24"/>
      <c r="U101" s="24"/>
      <c r="V101" s="24"/>
      <c r="W101" s="24"/>
      <c r="X101" s="24"/>
      <c r="Y101" s="24"/>
      <c r="Z101" s="24"/>
      <c r="AA101" s="24"/>
      <c r="AB101" s="24"/>
    </row>
    <row r="102" spans="14:28" ht="15.75" customHeight="1">
      <c r="N102" s="24"/>
      <c r="O102" s="24"/>
      <c r="P102" s="24"/>
      <c r="Q102" s="24"/>
      <c r="R102" s="24"/>
      <c r="S102" s="24"/>
      <c r="T102" s="24"/>
      <c r="U102" s="24"/>
      <c r="V102" s="24"/>
      <c r="W102" s="24"/>
      <c r="X102" s="24"/>
      <c r="Y102" s="24"/>
      <c r="Z102" s="24"/>
      <c r="AA102" s="24"/>
      <c r="AB102" s="24"/>
    </row>
    <row r="103" spans="14:28" ht="15.75" customHeight="1">
      <c r="N103" s="24"/>
      <c r="O103" s="24"/>
      <c r="P103" s="24"/>
      <c r="Q103" s="24"/>
      <c r="R103" s="24"/>
      <c r="S103" s="24"/>
      <c r="T103" s="24"/>
      <c r="U103" s="24"/>
      <c r="V103" s="24"/>
      <c r="W103" s="24"/>
      <c r="X103" s="24"/>
      <c r="Y103" s="24"/>
      <c r="Z103" s="24"/>
      <c r="AA103" s="24"/>
      <c r="AB103" s="24"/>
    </row>
    <row r="104" spans="14:28" ht="15.75" customHeight="1">
      <c r="N104" s="24"/>
      <c r="O104" s="24"/>
      <c r="P104" s="24"/>
      <c r="Q104" s="24"/>
      <c r="R104" s="24"/>
      <c r="S104" s="24"/>
      <c r="T104" s="24"/>
      <c r="U104" s="24"/>
      <c r="V104" s="24"/>
      <c r="W104" s="24"/>
      <c r="X104" s="24"/>
      <c r="Y104" s="24"/>
      <c r="Z104" s="24"/>
      <c r="AA104" s="24"/>
      <c r="AB104" s="24"/>
    </row>
    <row r="105" spans="14:28" ht="15.75" customHeight="1">
      <c r="N105" s="24"/>
      <c r="O105" s="24"/>
      <c r="P105" s="24"/>
      <c r="Q105" s="24"/>
      <c r="R105" s="24"/>
      <c r="S105" s="24"/>
      <c r="T105" s="24"/>
      <c r="U105" s="24"/>
      <c r="V105" s="24"/>
      <c r="W105" s="24"/>
      <c r="X105" s="24"/>
      <c r="Y105" s="24"/>
      <c r="Z105" s="24"/>
      <c r="AA105" s="24"/>
      <c r="AB105" s="24"/>
    </row>
    <row r="106" spans="14:28" ht="15.75" customHeight="1">
      <c r="N106" s="24"/>
      <c r="O106" s="24"/>
      <c r="P106" s="24"/>
      <c r="Q106" s="24"/>
      <c r="R106" s="24"/>
      <c r="S106" s="24"/>
      <c r="T106" s="24"/>
      <c r="U106" s="24"/>
      <c r="V106" s="24"/>
      <c r="W106" s="24"/>
      <c r="X106" s="24"/>
      <c r="Y106" s="24"/>
      <c r="Z106" s="24"/>
      <c r="AA106" s="24"/>
      <c r="AB106" s="24"/>
    </row>
    <row r="107" spans="14:28" ht="15.75" customHeight="1">
      <c r="N107" s="24"/>
      <c r="O107" s="24"/>
      <c r="P107" s="24"/>
      <c r="Q107" s="24"/>
      <c r="R107" s="24"/>
      <c r="S107" s="24"/>
      <c r="T107" s="24"/>
      <c r="U107" s="24"/>
      <c r="V107" s="24"/>
      <c r="W107" s="24"/>
      <c r="X107" s="24"/>
      <c r="Y107" s="24"/>
      <c r="Z107" s="24"/>
      <c r="AA107" s="24"/>
      <c r="AB107" s="24"/>
    </row>
    <row r="108" spans="14:28" ht="15.75" customHeight="1">
      <c r="N108" s="24"/>
      <c r="O108" s="24"/>
      <c r="P108" s="24"/>
      <c r="Q108" s="24"/>
      <c r="R108" s="24"/>
      <c r="S108" s="24"/>
      <c r="T108" s="24"/>
      <c r="U108" s="24"/>
      <c r="V108" s="24"/>
      <c r="W108" s="24"/>
      <c r="X108" s="24"/>
      <c r="Y108" s="24"/>
      <c r="Z108" s="24"/>
      <c r="AA108" s="24"/>
      <c r="AB108" s="24"/>
    </row>
    <row r="109" spans="14:28" ht="15.75" customHeight="1">
      <c r="N109" s="24"/>
      <c r="O109" s="24"/>
      <c r="P109" s="24"/>
      <c r="Q109" s="24"/>
      <c r="R109" s="24"/>
      <c r="S109" s="24"/>
      <c r="T109" s="24"/>
      <c r="U109" s="24"/>
      <c r="V109" s="24"/>
      <c r="W109" s="24"/>
      <c r="X109" s="24"/>
      <c r="Y109" s="24"/>
      <c r="Z109" s="24"/>
      <c r="AA109" s="24"/>
      <c r="AB109" s="24"/>
    </row>
    <row r="110" spans="14:28" ht="15.75" customHeight="1">
      <c r="N110" s="24"/>
      <c r="O110" s="24"/>
      <c r="P110" s="24"/>
      <c r="Q110" s="24"/>
      <c r="R110" s="24"/>
      <c r="S110" s="24"/>
      <c r="T110" s="24"/>
      <c r="U110" s="24"/>
      <c r="V110" s="24"/>
      <c r="W110" s="24"/>
      <c r="X110" s="24"/>
      <c r="Y110" s="24"/>
      <c r="Z110" s="24"/>
      <c r="AA110" s="24"/>
      <c r="AB110" s="24"/>
    </row>
    <row r="111" spans="14:28" ht="15.75" customHeight="1">
      <c r="N111" s="24"/>
      <c r="O111" s="24"/>
      <c r="P111" s="24"/>
      <c r="Q111" s="24"/>
      <c r="R111" s="24"/>
      <c r="S111" s="24"/>
      <c r="T111" s="24"/>
      <c r="U111" s="24"/>
      <c r="V111" s="24"/>
      <c r="W111" s="24"/>
      <c r="X111" s="24"/>
      <c r="Y111" s="24"/>
      <c r="Z111" s="24"/>
      <c r="AA111" s="24"/>
      <c r="AB111" s="24"/>
    </row>
    <row r="112" spans="14:28" ht="15.75" customHeight="1">
      <c r="N112" s="24"/>
      <c r="O112" s="24"/>
      <c r="P112" s="24"/>
      <c r="Q112" s="24"/>
      <c r="R112" s="24"/>
      <c r="S112" s="24"/>
      <c r="T112" s="24"/>
      <c r="U112" s="24"/>
      <c r="V112" s="24"/>
      <c r="W112" s="24"/>
      <c r="X112" s="24"/>
      <c r="Y112" s="24"/>
      <c r="Z112" s="24"/>
      <c r="AA112" s="24"/>
      <c r="AB112" s="24"/>
    </row>
    <row r="113" spans="14:28" ht="15.75" customHeight="1">
      <c r="N113" s="24"/>
      <c r="O113" s="24"/>
      <c r="P113" s="24"/>
      <c r="Q113" s="24"/>
      <c r="R113" s="24"/>
      <c r="S113" s="24"/>
      <c r="T113" s="24"/>
      <c r="U113" s="24"/>
      <c r="V113" s="24"/>
      <c r="W113" s="24"/>
      <c r="X113" s="24"/>
      <c r="Y113" s="24"/>
      <c r="Z113" s="24"/>
      <c r="AA113" s="24"/>
      <c r="AB113" s="24"/>
    </row>
    <row r="114" spans="14:28" ht="15.75" customHeight="1">
      <c r="N114" s="24"/>
      <c r="O114" s="24"/>
      <c r="P114" s="24"/>
      <c r="Q114" s="24"/>
      <c r="R114" s="24"/>
      <c r="S114" s="24"/>
      <c r="T114" s="24"/>
      <c r="U114" s="24"/>
      <c r="V114" s="24"/>
      <c r="W114" s="24"/>
      <c r="X114" s="24"/>
      <c r="Y114" s="24"/>
      <c r="Z114" s="24"/>
      <c r="AA114" s="24"/>
      <c r="AB114" s="24"/>
    </row>
    <row r="115" spans="14:28" ht="15.75" customHeight="1">
      <c r="N115" s="24"/>
      <c r="O115" s="24"/>
      <c r="P115" s="24"/>
      <c r="Q115" s="24"/>
      <c r="R115" s="24"/>
      <c r="S115" s="24"/>
      <c r="T115" s="24"/>
      <c r="U115" s="24"/>
      <c r="V115" s="24"/>
      <c r="W115" s="24"/>
      <c r="X115" s="24"/>
      <c r="Y115" s="24"/>
      <c r="Z115" s="24"/>
      <c r="AA115" s="24"/>
      <c r="AB115" s="24"/>
    </row>
    <row r="116" spans="14:28" ht="15.75" customHeight="1">
      <c r="N116" s="24"/>
      <c r="O116" s="24"/>
      <c r="P116" s="24"/>
      <c r="Q116" s="24"/>
      <c r="R116" s="24"/>
      <c r="S116" s="24"/>
      <c r="T116" s="24"/>
      <c r="U116" s="24"/>
      <c r="V116" s="24"/>
      <c r="W116" s="24"/>
      <c r="X116" s="24"/>
      <c r="Y116" s="24"/>
      <c r="Z116" s="24"/>
      <c r="AA116" s="24"/>
      <c r="AB116" s="24"/>
    </row>
    <row r="117" spans="14:28" ht="15.75" customHeight="1">
      <c r="N117" s="24"/>
      <c r="O117" s="24"/>
      <c r="P117" s="24"/>
      <c r="Q117" s="24"/>
      <c r="R117" s="24"/>
      <c r="S117" s="24"/>
      <c r="T117" s="24"/>
      <c r="U117" s="24"/>
      <c r="V117" s="24"/>
      <c r="W117" s="24"/>
      <c r="X117" s="24"/>
      <c r="Y117" s="24"/>
      <c r="Z117" s="24"/>
      <c r="AA117" s="24"/>
      <c r="AB117" s="24"/>
    </row>
    <row r="118" spans="14:28" ht="15.75" customHeight="1">
      <c r="N118" s="24"/>
      <c r="O118" s="24"/>
      <c r="P118" s="24"/>
      <c r="Q118" s="24"/>
      <c r="R118" s="24"/>
      <c r="S118" s="24"/>
      <c r="T118" s="24"/>
      <c r="U118" s="24"/>
      <c r="V118" s="24"/>
      <c r="W118" s="24"/>
      <c r="X118" s="24"/>
      <c r="Y118" s="24"/>
      <c r="Z118" s="24"/>
      <c r="AA118" s="24"/>
      <c r="AB118" s="24"/>
    </row>
    <row r="119" spans="14:28" ht="15.75" customHeight="1">
      <c r="N119" s="24"/>
      <c r="O119" s="24"/>
      <c r="P119" s="24"/>
      <c r="Q119" s="24"/>
      <c r="R119" s="24"/>
      <c r="S119" s="24"/>
      <c r="T119" s="24"/>
      <c r="U119" s="24"/>
      <c r="V119" s="24"/>
      <c r="W119" s="24"/>
      <c r="X119" s="24"/>
      <c r="Y119" s="24"/>
      <c r="Z119" s="24"/>
      <c r="AA119" s="24"/>
      <c r="AB119" s="24"/>
    </row>
    <row r="120" spans="14:28" ht="15.75" customHeight="1">
      <c r="N120" s="24"/>
      <c r="O120" s="24"/>
      <c r="P120" s="24"/>
      <c r="Q120" s="24"/>
      <c r="R120" s="24"/>
      <c r="S120" s="24"/>
      <c r="T120" s="24"/>
      <c r="U120" s="24"/>
      <c r="V120" s="24"/>
      <c r="W120" s="24"/>
      <c r="X120" s="24"/>
      <c r="Y120" s="24"/>
      <c r="Z120" s="24"/>
      <c r="AA120" s="24"/>
      <c r="AB120" s="24"/>
    </row>
    <row r="121" spans="14:28" ht="15.75" customHeight="1">
      <c r="N121" s="24"/>
      <c r="O121" s="24"/>
      <c r="P121" s="24"/>
      <c r="Q121" s="24"/>
      <c r="R121" s="24"/>
      <c r="S121" s="24"/>
      <c r="T121" s="24"/>
      <c r="U121" s="24"/>
      <c r="V121" s="24"/>
      <c r="W121" s="24"/>
      <c r="X121" s="24"/>
      <c r="Y121" s="24"/>
      <c r="Z121" s="24"/>
      <c r="AA121" s="24"/>
      <c r="AB121" s="24"/>
    </row>
    <row r="122" spans="14:28" ht="15.75" customHeight="1">
      <c r="N122" s="24"/>
      <c r="O122" s="24"/>
      <c r="P122" s="24"/>
      <c r="Q122" s="24"/>
      <c r="R122" s="24"/>
      <c r="S122" s="24"/>
      <c r="T122" s="24"/>
      <c r="U122" s="24"/>
      <c r="V122" s="24"/>
      <c r="W122" s="24"/>
      <c r="X122" s="24"/>
      <c r="Y122" s="24"/>
      <c r="Z122" s="24"/>
      <c r="AA122" s="24"/>
      <c r="AB122" s="24"/>
    </row>
    <row r="123" spans="14:28" ht="15.75" customHeight="1">
      <c r="N123" s="24"/>
      <c r="O123" s="24"/>
      <c r="P123" s="24"/>
      <c r="Q123" s="24"/>
      <c r="R123" s="24"/>
      <c r="S123" s="24"/>
      <c r="T123" s="24"/>
      <c r="U123" s="24"/>
      <c r="V123" s="24"/>
      <c r="W123" s="24"/>
      <c r="X123" s="24"/>
      <c r="Y123" s="24"/>
      <c r="Z123" s="24"/>
      <c r="AA123" s="24"/>
      <c r="AB123" s="24"/>
    </row>
    <row r="124" spans="14:28" ht="15.75" customHeight="1">
      <c r="N124" s="24"/>
      <c r="O124" s="24"/>
      <c r="P124" s="24"/>
      <c r="Q124" s="24"/>
      <c r="R124" s="24"/>
      <c r="S124" s="24"/>
      <c r="T124" s="24"/>
      <c r="U124" s="24"/>
      <c r="V124" s="24"/>
      <c r="W124" s="24"/>
      <c r="X124" s="24"/>
      <c r="Y124" s="24"/>
      <c r="Z124" s="24"/>
      <c r="AA124" s="24"/>
      <c r="AB124" s="24"/>
    </row>
    <row r="125" spans="14:28" ht="15.75" customHeight="1">
      <c r="N125" s="24"/>
      <c r="O125" s="24"/>
      <c r="P125" s="24"/>
      <c r="Q125" s="24"/>
      <c r="R125" s="24"/>
      <c r="S125" s="24"/>
      <c r="T125" s="24"/>
      <c r="U125" s="24"/>
      <c r="V125" s="24"/>
      <c r="W125" s="24"/>
      <c r="X125" s="24"/>
      <c r="Y125" s="24"/>
      <c r="Z125" s="24"/>
      <c r="AA125" s="24"/>
      <c r="AB125" s="24"/>
    </row>
    <row r="126" spans="14:28" ht="15.75" customHeight="1">
      <c r="N126" s="24"/>
      <c r="O126" s="24"/>
      <c r="P126" s="24"/>
      <c r="Q126" s="24"/>
      <c r="R126" s="24"/>
      <c r="S126" s="24"/>
      <c r="T126" s="24"/>
      <c r="U126" s="24"/>
      <c r="V126" s="24"/>
      <c r="W126" s="24"/>
      <c r="X126" s="24"/>
      <c r="Y126" s="24"/>
      <c r="Z126" s="24"/>
      <c r="AA126" s="24"/>
      <c r="AB126" s="24"/>
    </row>
    <row r="127" spans="14:28" ht="15.75" customHeight="1">
      <c r="N127" s="24"/>
      <c r="O127" s="24"/>
      <c r="P127" s="24"/>
      <c r="Q127" s="24"/>
      <c r="R127" s="24"/>
      <c r="S127" s="24"/>
      <c r="T127" s="24"/>
      <c r="U127" s="24"/>
      <c r="V127" s="24"/>
      <c r="W127" s="24"/>
      <c r="X127" s="24"/>
      <c r="Y127" s="24"/>
      <c r="Z127" s="24"/>
      <c r="AA127" s="24"/>
      <c r="AB127" s="24"/>
    </row>
    <row r="128" spans="14:28" ht="15.75" customHeight="1">
      <c r="N128" s="24"/>
      <c r="O128" s="24"/>
      <c r="P128" s="24"/>
      <c r="Q128" s="24"/>
      <c r="R128" s="24"/>
      <c r="S128" s="24"/>
      <c r="T128" s="24"/>
      <c r="U128" s="24"/>
      <c r="V128" s="24"/>
      <c r="W128" s="24"/>
      <c r="X128" s="24"/>
      <c r="Y128" s="24"/>
      <c r="Z128" s="24"/>
      <c r="AA128" s="24"/>
      <c r="AB128" s="24"/>
    </row>
    <row r="129" spans="14:28" ht="15.75" customHeight="1">
      <c r="N129" s="24"/>
      <c r="O129" s="24"/>
      <c r="P129" s="24"/>
      <c r="Q129" s="24"/>
      <c r="R129" s="24"/>
      <c r="S129" s="24"/>
      <c r="T129" s="24"/>
      <c r="U129" s="24"/>
      <c r="V129" s="24"/>
      <c r="W129" s="24"/>
      <c r="X129" s="24"/>
      <c r="Y129" s="24"/>
      <c r="Z129" s="24"/>
      <c r="AA129" s="24"/>
      <c r="AB129" s="24"/>
    </row>
    <row r="130" spans="14:28" ht="15.75" customHeight="1">
      <c r="N130" s="24"/>
      <c r="O130" s="24"/>
      <c r="P130" s="24"/>
      <c r="Q130" s="24"/>
      <c r="R130" s="24"/>
      <c r="S130" s="24"/>
      <c r="T130" s="24"/>
      <c r="U130" s="24"/>
      <c r="V130" s="24"/>
      <c r="W130" s="24"/>
      <c r="X130" s="24"/>
      <c r="Y130" s="24"/>
      <c r="Z130" s="24"/>
      <c r="AA130" s="24"/>
      <c r="AB130" s="24"/>
    </row>
    <row r="131" spans="14:28" ht="15.75" customHeight="1">
      <c r="N131" s="24"/>
      <c r="O131" s="24"/>
      <c r="P131" s="24"/>
      <c r="Q131" s="24"/>
      <c r="R131" s="24"/>
      <c r="S131" s="24"/>
      <c r="T131" s="24"/>
      <c r="U131" s="24"/>
      <c r="V131" s="24"/>
      <c r="W131" s="24"/>
      <c r="X131" s="24"/>
      <c r="Y131" s="24"/>
      <c r="Z131" s="24"/>
      <c r="AA131" s="24"/>
      <c r="AB131" s="24"/>
    </row>
    <row r="132" spans="14:28" ht="15.75" customHeight="1">
      <c r="N132" s="24"/>
      <c r="O132" s="24"/>
      <c r="P132" s="24"/>
      <c r="Q132" s="24"/>
      <c r="R132" s="24"/>
      <c r="S132" s="24"/>
      <c r="T132" s="24"/>
      <c r="U132" s="24"/>
      <c r="V132" s="24"/>
      <c r="W132" s="24"/>
      <c r="X132" s="24"/>
      <c r="Y132" s="24"/>
      <c r="Z132" s="24"/>
      <c r="AA132" s="24"/>
      <c r="AB132" s="24"/>
    </row>
    <row r="133" spans="14:28" ht="15.75" customHeight="1">
      <c r="N133" s="24"/>
      <c r="O133" s="24"/>
      <c r="P133" s="24"/>
      <c r="Q133" s="24"/>
      <c r="R133" s="24"/>
      <c r="S133" s="24"/>
      <c r="T133" s="24"/>
      <c r="U133" s="24"/>
      <c r="V133" s="24"/>
      <c r="W133" s="24"/>
      <c r="X133" s="24"/>
      <c r="Y133" s="24"/>
      <c r="Z133" s="24"/>
      <c r="AA133" s="24"/>
      <c r="AB133" s="24"/>
    </row>
    <row r="134" spans="14:28" ht="15.75" customHeight="1">
      <c r="N134" s="24"/>
      <c r="O134" s="24"/>
      <c r="P134" s="24"/>
      <c r="Q134" s="24"/>
      <c r="R134" s="24"/>
      <c r="S134" s="24"/>
      <c r="T134" s="24"/>
      <c r="U134" s="24"/>
      <c r="V134" s="24"/>
      <c r="W134" s="24"/>
      <c r="X134" s="24"/>
      <c r="Y134" s="24"/>
      <c r="Z134" s="24"/>
      <c r="AA134" s="24"/>
      <c r="AB134" s="24"/>
    </row>
    <row r="135" spans="14:28" ht="15.75" customHeight="1">
      <c r="N135" s="24"/>
      <c r="O135" s="24"/>
      <c r="P135" s="24"/>
      <c r="Q135" s="24"/>
      <c r="R135" s="24"/>
      <c r="S135" s="24"/>
      <c r="T135" s="24"/>
      <c r="U135" s="24"/>
      <c r="V135" s="24"/>
      <c r="W135" s="24"/>
      <c r="X135" s="24"/>
      <c r="Y135" s="24"/>
      <c r="Z135" s="24"/>
      <c r="AA135" s="24"/>
      <c r="AB135" s="24"/>
    </row>
    <row r="136" spans="14:28" ht="15.75" customHeight="1">
      <c r="N136" s="24"/>
      <c r="O136" s="24"/>
      <c r="P136" s="24"/>
      <c r="Q136" s="24"/>
      <c r="R136" s="24"/>
      <c r="S136" s="24"/>
      <c r="T136" s="24"/>
      <c r="U136" s="24"/>
      <c r="V136" s="24"/>
      <c r="W136" s="24"/>
      <c r="X136" s="24"/>
      <c r="Y136" s="24"/>
      <c r="Z136" s="24"/>
      <c r="AA136" s="24"/>
      <c r="AB136" s="24"/>
    </row>
    <row r="137" spans="14:28" ht="15.75" customHeight="1">
      <c r="N137" s="24"/>
      <c r="O137" s="24"/>
      <c r="P137" s="24"/>
      <c r="Q137" s="24"/>
      <c r="R137" s="24"/>
      <c r="S137" s="24"/>
      <c r="T137" s="24"/>
      <c r="U137" s="24"/>
      <c r="V137" s="24"/>
      <c r="W137" s="24"/>
      <c r="X137" s="24"/>
      <c r="Y137" s="24"/>
      <c r="Z137" s="24"/>
      <c r="AA137" s="24"/>
      <c r="AB137" s="24"/>
    </row>
    <row r="138" spans="14:28" ht="15.75" customHeight="1">
      <c r="N138" s="24"/>
      <c r="O138" s="24"/>
      <c r="P138" s="24"/>
      <c r="Q138" s="24"/>
      <c r="R138" s="24"/>
      <c r="S138" s="24"/>
      <c r="T138" s="24"/>
      <c r="U138" s="24"/>
      <c r="V138" s="24"/>
      <c r="W138" s="24"/>
      <c r="X138" s="24"/>
      <c r="Y138" s="24"/>
      <c r="Z138" s="24"/>
      <c r="AA138" s="24"/>
      <c r="AB138" s="24"/>
    </row>
    <row r="139" spans="14:28" ht="15.75" customHeight="1">
      <c r="N139" s="24"/>
      <c r="O139" s="24"/>
      <c r="P139" s="24"/>
      <c r="Q139" s="24"/>
      <c r="R139" s="24"/>
      <c r="S139" s="24"/>
      <c r="T139" s="24"/>
      <c r="U139" s="24"/>
      <c r="V139" s="24"/>
      <c r="W139" s="24"/>
      <c r="X139" s="24"/>
      <c r="Y139" s="24"/>
      <c r="Z139" s="24"/>
      <c r="AA139" s="24"/>
      <c r="AB139" s="24"/>
    </row>
    <row r="140" spans="14:28" ht="15.75" customHeight="1">
      <c r="N140" s="24"/>
      <c r="O140" s="24"/>
      <c r="P140" s="24"/>
      <c r="Q140" s="24"/>
      <c r="R140" s="24"/>
      <c r="S140" s="24"/>
      <c r="T140" s="24"/>
      <c r="U140" s="24"/>
      <c r="V140" s="24"/>
      <c r="W140" s="24"/>
      <c r="X140" s="24"/>
      <c r="Y140" s="24"/>
      <c r="Z140" s="24"/>
      <c r="AA140" s="24"/>
      <c r="AB140" s="24"/>
    </row>
    <row r="141" spans="14:28" ht="15.75" customHeight="1">
      <c r="N141" s="24"/>
      <c r="O141" s="24"/>
      <c r="P141" s="24"/>
      <c r="Q141" s="24"/>
      <c r="R141" s="24"/>
      <c r="S141" s="24"/>
      <c r="T141" s="24"/>
      <c r="U141" s="24"/>
      <c r="V141" s="24"/>
      <c r="W141" s="24"/>
      <c r="X141" s="24"/>
      <c r="Y141" s="24"/>
      <c r="Z141" s="24"/>
      <c r="AA141" s="24"/>
      <c r="AB141" s="24"/>
    </row>
    <row r="142" spans="14:28" ht="15.75" customHeight="1">
      <c r="N142" s="24"/>
      <c r="O142" s="24"/>
      <c r="P142" s="24"/>
      <c r="Q142" s="24"/>
      <c r="R142" s="24"/>
      <c r="S142" s="24"/>
      <c r="T142" s="24"/>
      <c r="U142" s="24"/>
      <c r="V142" s="24"/>
      <c r="W142" s="24"/>
      <c r="X142" s="24"/>
      <c r="Y142" s="24"/>
      <c r="Z142" s="24"/>
      <c r="AA142" s="24"/>
      <c r="AB142" s="24"/>
    </row>
    <row r="143" spans="14:28" ht="15.75" customHeight="1">
      <c r="N143" s="24"/>
      <c r="O143" s="24"/>
      <c r="P143" s="24"/>
      <c r="Q143" s="24"/>
      <c r="R143" s="24"/>
      <c r="S143" s="24"/>
      <c r="T143" s="24"/>
      <c r="U143" s="24"/>
      <c r="V143" s="24"/>
      <c r="W143" s="24"/>
      <c r="X143" s="24"/>
      <c r="Y143" s="24"/>
      <c r="Z143" s="24"/>
      <c r="AA143" s="24"/>
      <c r="AB143" s="24"/>
    </row>
    <row r="144" spans="14:28" ht="15.75" customHeight="1">
      <c r="N144" s="24"/>
      <c r="O144" s="24"/>
      <c r="P144" s="24"/>
      <c r="Q144" s="24"/>
      <c r="R144" s="24"/>
      <c r="S144" s="24"/>
      <c r="T144" s="24"/>
      <c r="U144" s="24"/>
      <c r="V144" s="24"/>
      <c r="W144" s="24"/>
      <c r="X144" s="24"/>
      <c r="Y144" s="24"/>
      <c r="Z144" s="24"/>
      <c r="AA144" s="24"/>
      <c r="AB144" s="24"/>
    </row>
    <row r="145" spans="14:28" ht="15.75" customHeight="1">
      <c r="N145" s="24"/>
      <c r="O145" s="24"/>
      <c r="P145" s="24"/>
      <c r="Q145" s="24"/>
      <c r="R145" s="24"/>
      <c r="S145" s="24"/>
      <c r="T145" s="24"/>
      <c r="U145" s="24"/>
      <c r="V145" s="24"/>
      <c r="W145" s="24"/>
      <c r="X145" s="24"/>
      <c r="Y145" s="24"/>
      <c r="Z145" s="24"/>
      <c r="AA145" s="24"/>
      <c r="AB145" s="24"/>
    </row>
    <row r="146" spans="14:28" ht="15.75" customHeight="1">
      <c r="N146" s="24"/>
      <c r="O146" s="24"/>
      <c r="P146" s="24"/>
      <c r="Q146" s="24"/>
      <c r="R146" s="24"/>
      <c r="S146" s="24"/>
      <c r="T146" s="24"/>
      <c r="U146" s="24"/>
      <c r="V146" s="24"/>
      <c r="W146" s="24"/>
      <c r="X146" s="24"/>
      <c r="Y146" s="24"/>
      <c r="Z146" s="24"/>
      <c r="AA146" s="24"/>
      <c r="AB146" s="24"/>
    </row>
    <row r="147" spans="14:28" ht="15.75" customHeight="1">
      <c r="N147" s="24"/>
      <c r="O147" s="24"/>
      <c r="P147" s="24"/>
      <c r="Q147" s="24"/>
      <c r="R147" s="24"/>
      <c r="S147" s="24"/>
      <c r="T147" s="24"/>
      <c r="U147" s="24"/>
      <c r="V147" s="24"/>
      <c r="W147" s="24"/>
      <c r="X147" s="24"/>
      <c r="Y147" s="24"/>
      <c r="Z147" s="24"/>
      <c r="AA147" s="24"/>
      <c r="AB147" s="24"/>
    </row>
    <row r="148" spans="14:28" ht="15.75" customHeight="1">
      <c r="N148" s="24"/>
      <c r="O148" s="24"/>
      <c r="P148" s="24"/>
      <c r="Q148" s="24"/>
      <c r="R148" s="24"/>
      <c r="S148" s="24"/>
      <c r="T148" s="24"/>
      <c r="U148" s="24"/>
      <c r="V148" s="24"/>
      <c r="W148" s="24"/>
      <c r="X148" s="24"/>
      <c r="Y148" s="24"/>
      <c r="Z148" s="24"/>
      <c r="AA148" s="24"/>
      <c r="AB148" s="24"/>
    </row>
    <row r="149" spans="14:28" ht="15.75" customHeight="1">
      <c r="N149" s="24"/>
      <c r="O149" s="24"/>
      <c r="P149" s="24"/>
      <c r="Q149" s="24"/>
      <c r="R149" s="24"/>
      <c r="S149" s="24"/>
      <c r="T149" s="24"/>
      <c r="U149" s="24"/>
      <c r="V149" s="24"/>
      <c r="W149" s="24"/>
      <c r="X149" s="24"/>
      <c r="Y149" s="24"/>
      <c r="Z149" s="24"/>
      <c r="AA149" s="24"/>
      <c r="AB149" s="24"/>
    </row>
    <row r="150" spans="14:28" ht="15.75" customHeight="1">
      <c r="N150" s="24"/>
      <c r="O150" s="24"/>
      <c r="P150" s="24"/>
      <c r="Q150" s="24"/>
      <c r="R150" s="24"/>
      <c r="S150" s="24"/>
      <c r="T150" s="24"/>
      <c r="U150" s="24"/>
      <c r="V150" s="24"/>
      <c r="W150" s="24"/>
      <c r="X150" s="24"/>
      <c r="Y150" s="24"/>
      <c r="Z150" s="24"/>
      <c r="AA150" s="24"/>
      <c r="AB150" s="24"/>
    </row>
    <row r="151" spans="14:28" ht="15.75" customHeight="1">
      <c r="N151" s="24"/>
      <c r="O151" s="24"/>
      <c r="P151" s="24"/>
      <c r="Q151" s="24"/>
      <c r="R151" s="24"/>
      <c r="S151" s="24"/>
      <c r="T151" s="24"/>
      <c r="U151" s="24"/>
      <c r="V151" s="24"/>
      <c r="W151" s="24"/>
      <c r="X151" s="24"/>
      <c r="Y151" s="24"/>
      <c r="Z151" s="24"/>
      <c r="AA151" s="24"/>
      <c r="AB151" s="24"/>
    </row>
    <row r="152" spans="14:28" ht="15.75" customHeight="1">
      <c r="N152" s="24"/>
      <c r="O152" s="24"/>
      <c r="P152" s="24"/>
      <c r="Q152" s="24"/>
      <c r="R152" s="24"/>
      <c r="S152" s="24"/>
      <c r="T152" s="24"/>
      <c r="U152" s="24"/>
      <c r="V152" s="24"/>
      <c r="W152" s="24"/>
      <c r="X152" s="24"/>
      <c r="Y152" s="24"/>
      <c r="Z152" s="24"/>
      <c r="AA152" s="24"/>
      <c r="AB152" s="24"/>
    </row>
    <row r="153" spans="14:28" ht="15.75" customHeight="1">
      <c r="N153" s="24"/>
      <c r="O153" s="24"/>
      <c r="P153" s="24"/>
      <c r="Q153" s="24"/>
      <c r="R153" s="24"/>
      <c r="S153" s="24"/>
      <c r="T153" s="24"/>
      <c r="U153" s="24"/>
      <c r="V153" s="24"/>
      <c r="W153" s="24"/>
      <c r="X153" s="24"/>
      <c r="Y153" s="24"/>
      <c r="Z153" s="24"/>
      <c r="AA153" s="24"/>
      <c r="AB153" s="24"/>
    </row>
    <row r="154" spans="14:28" ht="15.75" customHeight="1">
      <c r="N154" s="24"/>
      <c r="O154" s="24"/>
      <c r="P154" s="24"/>
      <c r="Q154" s="24"/>
      <c r="R154" s="24"/>
      <c r="S154" s="24"/>
      <c r="T154" s="24"/>
      <c r="U154" s="24"/>
      <c r="V154" s="24"/>
      <c r="W154" s="24"/>
      <c r="X154" s="24"/>
      <c r="Y154" s="24"/>
      <c r="Z154" s="24"/>
      <c r="AA154" s="24"/>
      <c r="AB154" s="24"/>
    </row>
    <row r="155" spans="14:28" ht="15.75" customHeight="1">
      <c r="N155" s="24"/>
      <c r="O155" s="24"/>
      <c r="P155" s="24"/>
      <c r="Q155" s="24"/>
      <c r="R155" s="24"/>
      <c r="S155" s="24"/>
      <c r="T155" s="24"/>
      <c r="U155" s="24"/>
      <c r="V155" s="24"/>
      <c r="W155" s="24"/>
      <c r="X155" s="24"/>
      <c r="Y155" s="24"/>
      <c r="Z155" s="24"/>
      <c r="AA155" s="24"/>
      <c r="AB155" s="24"/>
    </row>
    <row r="156" spans="14:28" ht="15.75" customHeight="1">
      <c r="N156" s="24"/>
      <c r="O156" s="24"/>
      <c r="P156" s="24"/>
      <c r="Q156" s="24"/>
      <c r="R156" s="24"/>
      <c r="S156" s="24"/>
      <c r="T156" s="24"/>
      <c r="U156" s="24"/>
      <c r="V156" s="24"/>
      <c r="W156" s="24"/>
      <c r="X156" s="24"/>
      <c r="Y156" s="24"/>
      <c r="Z156" s="24"/>
      <c r="AA156" s="24"/>
      <c r="AB156" s="24"/>
    </row>
    <row r="157" spans="14:28" ht="15.75" customHeight="1">
      <c r="N157" s="24"/>
      <c r="O157" s="24"/>
      <c r="P157" s="24"/>
      <c r="Q157" s="24"/>
      <c r="R157" s="24"/>
      <c r="S157" s="24"/>
      <c r="T157" s="24"/>
      <c r="U157" s="24"/>
      <c r="V157" s="24"/>
      <c r="W157" s="24"/>
      <c r="X157" s="24"/>
      <c r="Y157" s="24"/>
      <c r="Z157" s="24"/>
      <c r="AA157" s="24"/>
      <c r="AB157" s="24"/>
    </row>
    <row r="158" spans="14:28" ht="15.75" customHeight="1">
      <c r="N158" s="24"/>
      <c r="O158" s="24"/>
      <c r="P158" s="24"/>
      <c r="Q158" s="24"/>
      <c r="R158" s="24"/>
      <c r="S158" s="24"/>
      <c r="T158" s="24"/>
      <c r="U158" s="24"/>
      <c r="V158" s="24"/>
      <c r="W158" s="24"/>
      <c r="X158" s="24"/>
      <c r="Y158" s="24"/>
      <c r="Z158" s="24"/>
      <c r="AA158" s="24"/>
      <c r="AB158" s="24"/>
    </row>
    <row r="159" spans="14:28" ht="15.75" customHeight="1">
      <c r="N159" s="24"/>
      <c r="O159" s="24"/>
      <c r="P159" s="24"/>
      <c r="Q159" s="24"/>
      <c r="R159" s="24"/>
      <c r="S159" s="24"/>
      <c r="T159" s="24"/>
      <c r="U159" s="24"/>
      <c r="V159" s="24"/>
      <c r="W159" s="24"/>
      <c r="X159" s="24"/>
      <c r="Y159" s="24"/>
      <c r="Z159" s="24"/>
      <c r="AA159" s="24"/>
      <c r="AB159" s="24"/>
    </row>
    <row r="160" spans="14:28" ht="15.75" customHeight="1">
      <c r="N160" s="24"/>
      <c r="O160" s="24"/>
      <c r="P160" s="24"/>
      <c r="Q160" s="24"/>
      <c r="R160" s="24"/>
      <c r="S160" s="24"/>
      <c r="T160" s="24"/>
      <c r="U160" s="24"/>
      <c r="V160" s="24"/>
      <c r="W160" s="24"/>
      <c r="X160" s="24"/>
      <c r="Y160" s="24"/>
      <c r="Z160" s="24"/>
      <c r="AA160" s="24"/>
      <c r="AB160" s="24"/>
    </row>
    <row r="161" spans="14:28" ht="15.75" customHeight="1">
      <c r="N161" s="24"/>
      <c r="O161" s="24"/>
      <c r="P161" s="24"/>
      <c r="Q161" s="24"/>
      <c r="R161" s="24"/>
      <c r="S161" s="24"/>
      <c r="T161" s="24"/>
      <c r="U161" s="24"/>
      <c r="V161" s="24"/>
      <c r="W161" s="24"/>
      <c r="X161" s="24"/>
      <c r="Y161" s="24"/>
      <c r="Z161" s="24"/>
      <c r="AA161" s="24"/>
      <c r="AB161" s="24"/>
    </row>
    <row r="162" spans="14:28" ht="15.75" customHeight="1">
      <c r="N162" s="24"/>
      <c r="O162" s="24"/>
      <c r="P162" s="24"/>
      <c r="Q162" s="24"/>
      <c r="R162" s="24"/>
      <c r="S162" s="24"/>
      <c r="T162" s="24"/>
      <c r="U162" s="24"/>
      <c r="V162" s="24"/>
      <c r="W162" s="24"/>
      <c r="X162" s="24"/>
      <c r="Y162" s="24"/>
      <c r="Z162" s="24"/>
      <c r="AA162" s="24"/>
      <c r="AB162" s="24"/>
    </row>
    <row r="163" spans="14:28" ht="15.75" customHeight="1">
      <c r="N163" s="24"/>
      <c r="O163" s="24"/>
      <c r="P163" s="24"/>
      <c r="Q163" s="24"/>
      <c r="R163" s="24"/>
      <c r="S163" s="24"/>
      <c r="T163" s="24"/>
      <c r="U163" s="24"/>
      <c r="V163" s="24"/>
      <c r="W163" s="24"/>
      <c r="X163" s="24"/>
      <c r="Y163" s="24"/>
      <c r="Z163" s="24"/>
      <c r="AA163" s="24"/>
      <c r="AB163" s="24"/>
    </row>
    <row r="164" spans="14:28" ht="15.75" customHeight="1">
      <c r="N164" s="24"/>
      <c r="O164" s="24"/>
      <c r="P164" s="24"/>
      <c r="Q164" s="24"/>
      <c r="R164" s="24"/>
      <c r="S164" s="24"/>
      <c r="T164" s="24"/>
      <c r="U164" s="24"/>
      <c r="V164" s="24"/>
      <c r="W164" s="24"/>
      <c r="X164" s="24"/>
      <c r="Y164" s="24"/>
      <c r="Z164" s="24"/>
      <c r="AA164" s="24"/>
      <c r="AB164" s="24"/>
    </row>
    <row r="165" spans="14:28" ht="15.75" customHeight="1">
      <c r="N165" s="24"/>
      <c r="O165" s="24"/>
      <c r="P165" s="24"/>
      <c r="Q165" s="24"/>
      <c r="R165" s="24"/>
      <c r="S165" s="24"/>
      <c r="T165" s="24"/>
      <c r="U165" s="24"/>
      <c r="V165" s="24"/>
      <c r="W165" s="24"/>
      <c r="X165" s="24"/>
      <c r="Y165" s="24"/>
      <c r="Z165" s="24"/>
      <c r="AA165" s="24"/>
      <c r="AB165" s="24"/>
    </row>
    <row r="166" spans="14:28" ht="15.75" customHeight="1">
      <c r="N166" s="24"/>
      <c r="O166" s="24"/>
      <c r="P166" s="24"/>
      <c r="Q166" s="24"/>
      <c r="R166" s="24"/>
      <c r="S166" s="24"/>
      <c r="T166" s="24"/>
      <c r="U166" s="24"/>
      <c r="V166" s="24"/>
      <c r="W166" s="24"/>
      <c r="X166" s="24"/>
      <c r="Y166" s="24"/>
      <c r="Z166" s="24"/>
      <c r="AA166" s="24"/>
      <c r="AB166" s="24"/>
    </row>
    <row r="167" spans="14:28" ht="15.75" customHeight="1">
      <c r="N167" s="24"/>
      <c r="O167" s="24"/>
      <c r="P167" s="24"/>
      <c r="Q167" s="24"/>
      <c r="R167" s="24"/>
      <c r="S167" s="24"/>
      <c r="T167" s="24"/>
      <c r="U167" s="24"/>
      <c r="V167" s="24"/>
      <c r="W167" s="24"/>
      <c r="X167" s="24"/>
      <c r="Y167" s="24"/>
      <c r="Z167" s="24"/>
      <c r="AA167" s="24"/>
      <c r="AB167" s="24"/>
    </row>
    <row r="168" spans="14:28" ht="15.75" customHeight="1">
      <c r="N168" s="24"/>
      <c r="O168" s="24"/>
      <c r="P168" s="24"/>
      <c r="Q168" s="24"/>
      <c r="R168" s="24"/>
      <c r="S168" s="24"/>
      <c r="T168" s="24"/>
      <c r="U168" s="24"/>
      <c r="V168" s="24"/>
      <c r="W168" s="24"/>
      <c r="X168" s="24"/>
      <c r="Y168" s="24"/>
      <c r="Z168" s="24"/>
      <c r="AA168" s="24"/>
      <c r="AB168" s="24"/>
    </row>
    <row r="169" spans="14:28" ht="15.75" customHeight="1">
      <c r="N169" s="24"/>
      <c r="O169" s="24"/>
      <c r="P169" s="24"/>
      <c r="Q169" s="24"/>
      <c r="R169" s="24"/>
      <c r="S169" s="24"/>
      <c r="T169" s="24"/>
      <c r="U169" s="24"/>
      <c r="V169" s="24"/>
      <c r="W169" s="24"/>
      <c r="X169" s="24"/>
      <c r="Y169" s="24"/>
      <c r="Z169" s="24"/>
      <c r="AA169" s="24"/>
      <c r="AB169" s="24"/>
    </row>
    <row r="170" spans="14:28" ht="15.75" customHeight="1">
      <c r="N170" s="24"/>
      <c r="O170" s="24"/>
      <c r="P170" s="24"/>
      <c r="Q170" s="24"/>
      <c r="R170" s="24"/>
      <c r="S170" s="24"/>
      <c r="T170" s="24"/>
      <c r="U170" s="24"/>
      <c r="V170" s="24"/>
      <c r="W170" s="24"/>
      <c r="X170" s="24"/>
      <c r="Y170" s="24"/>
      <c r="Z170" s="24"/>
      <c r="AA170" s="24"/>
      <c r="AB170" s="24"/>
    </row>
    <row r="171" spans="14:28" ht="15.75" customHeight="1">
      <c r="N171" s="24"/>
      <c r="O171" s="24"/>
      <c r="P171" s="24"/>
      <c r="Q171" s="24"/>
      <c r="R171" s="24"/>
      <c r="S171" s="24"/>
      <c r="T171" s="24"/>
      <c r="U171" s="24"/>
      <c r="V171" s="24"/>
      <c r="W171" s="24"/>
      <c r="X171" s="24"/>
      <c r="Y171" s="24"/>
      <c r="Z171" s="24"/>
      <c r="AA171" s="24"/>
      <c r="AB171" s="24"/>
    </row>
    <row r="172" spans="14:28" ht="15.75" customHeight="1">
      <c r="N172" s="24"/>
      <c r="O172" s="24"/>
      <c r="P172" s="24"/>
      <c r="Q172" s="24"/>
      <c r="R172" s="24"/>
      <c r="S172" s="24"/>
      <c r="T172" s="24"/>
      <c r="U172" s="24"/>
      <c r="V172" s="24"/>
      <c r="W172" s="24"/>
      <c r="X172" s="24"/>
      <c r="Y172" s="24"/>
      <c r="Z172" s="24"/>
      <c r="AA172" s="24"/>
      <c r="AB172" s="24"/>
    </row>
    <row r="173" spans="14:28" ht="15.75" customHeight="1">
      <c r="N173" s="24"/>
      <c r="O173" s="24"/>
      <c r="P173" s="24"/>
      <c r="Q173" s="24"/>
      <c r="R173" s="24"/>
      <c r="S173" s="24"/>
      <c r="T173" s="24"/>
      <c r="U173" s="24"/>
      <c r="V173" s="24"/>
      <c r="W173" s="24"/>
      <c r="X173" s="24"/>
      <c r="Y173" s="24"/>
      <c r="Z173" s="24"/>
      <c r="AA173" s="24"/>
      <c r="AB173" s="24"/>
    </row>
    <row r="174" spans="14:28" ht="15.75" customHeight="1">
      <c r="N174" s="24"/>
      <c r="O174" s="24"/>
      <c r="P174" s="24"/>
      <c r="Q174" s="24"/>
      <c r="R174" s="24"/>
      <c r="S174" s="24"/>
      <c r="T174" s="24"/>
      <c r="U174" s="24"/>
      <c r="V174" s="24"/>
      <c r="W174" s="24"/>
      <c r="X174" s="24"/>
      <c r="Y174" s="24"/>
      <c r="Z174" s="24"/>
      <c r="AA174" s="24"/>
      <c r="AB174" s="24"/>
    </row>
    <row r="175" spans="14:28" ht="15.75" customHeight="1">
      <c r="N175" s="24"/>
      <c r="O175" s="24"/>
      <c r="P175" s="24"/>
      <c r="Q175" s="24"/>
      <c r="R175" s="24"/>
      <c r="S175" s="24"/>
      <c r="T175" s="24"/>
      <c r="U175" s="24"/>
      <c r="V175" s="24"/>
      <c r="W175" s="24"/>
      <c r="X175" s="24"/>
      <c r="Y175" s="24"/>
      <c r="Z175" s="24"/>
      <c r="AA175" s="24"/>
      <c r="AB175" s="24"/>
    </row>
    <row r="176" spans="14:28" ht="15.75" customHeight="1">
      <c r="N176" s="24"/>
      <c r="O176" s="24"/>
      <c r="P176" s="24"/>
      <c r="Q176" s="24"/>
      <c r="R176" s="24"/>
      <c r="S176" s="24"/>
      <c r="T176" s="24"/>
      <c r="U176" s="24"/>
      <c r="V176" s="24"/>
      <c r="W176" s="24"/>
      <c r="X176" s="24"/>
      <c r="Y176" s="24"/>
      <c r="Z176" s="24"/>
      <c r="AA176" s="24"/>
      <c r="AB176" s="24"/>
    </row>
    <row r="177" spans="14:28" ht="15.75" customHeight="1">
      <c r="N177" s="24"/>
      <c r="O177" s="24"/>
      <c r="P177" s="24"/>
      <c r="Q177" s="24"/>
      <c r="R177" s="24"/>
      <c r="S177" s="24"/>
      <c r="T177" s="24"/>
      <c r="U177" s="24"/>
      <c r="V177" s="24"/>
      <c r="W177" s="24"/>
      <c r="X177" s="24"/>
      <c r="Y177" s="24"/>
      <c r="Z177" s="24"/>
      <c r="AA177" s="24"/>
      <c r="AB177" s="24"/>
    </row>
    <row r="178" spans="14:28" ht="15.75" customHeight="1">
      <c r="N178" s="24"/>
      <c r="O178" s="24"/>
      <c r="P178" s="24"/>
      <c r="Q178" s="24"/>
      <c r="R178" s="24"/>
      <c r="S178" s="24"/>
      <c r="T178" s="24"/>
      <c r="U178" s="24"/>
      <c r="V178" s="24"/>
      <c r="W178" s="24"/>
      <c r="X178" s="24"/>
      <c r="Y178" s="24"/>
      <c r="Z178" s="24"/>
      <c r="AA178" s="24"/>
      <c r="AB178" s="24"/>
    </row>
    <row r="179" spans="14:28" ht="15.75" customHeight="1">
      <c r="N179" s="24"/>
      <c r="O179" s="24"/>
      <c r="P179" s="24"/>
      <c r="Q179" s="24"/>
      <c r="R179" s="24"/>
      <c r="S179" s="24"/>
      <c r="T179" s="24"/>
      <c r="U179" s="24"/>
      <c r="V179" s="24"/>
      <c r="W179" s="24"/>
      <c r="X179" s="24"/>
      <c r="Y179" s="24"/>
      <c r="Z179" s="24"/>
      <c r="AA179" s="24"/>
      <c r="AB179" s="24"/>
    </row>
    <row r="180" spans="14:28" ht="15.75" customHeight="1">
      <c r="N180" s="24"/>
      <c r="O180" s="24"/>
      <c r="P180" s="24"/>
      <c r="Q180" s="24"/>
      <c r="R180" s="24"/>
      <c r="S180" s="24"/>
      <c r="T180" s="24"/>
      <c r="U180" s="24"/>
      <c r="V180" s="24"/>
      <c r="W180" s="24"/>
      <c r="X180" s="24"/>
      <c r="Y180" s="24"/>
      <c r="Z180" s="24"/>
      <c r="AA180" s="24"/>
      <c r="AB180" s="24"/>
    </row>
    <row r="181" spans="14:28" ht="15.75" customHeight="1">
      <c r="N181" s="24"/>
      <c r="O181" s="24"/>
      <c r="P181" s="24"/>
      <c r="Q181" s="24"/>
      <c r="R181" s="24"/>
      <c r="S181" s="24"/>
      <c r="T181" s="24"/>
      <c r="U181" s="24"/>
      <c r="V181" s="24"/>
      <c r="W181" s="24"/>
      <c r="X181" s="24"/>
      <c r="Y181" s="24"/>
      <c r="Z181" s="24"/>
      <c r="AA181" s="24"/>
      <c r="AB181" s="24"/>
    </row>
    <row r="182" spans="14:28" ht="15.75" customHeight="1">
      <c r="N182" s="24"/>
      <c r="O182" s="24"/>
      <c r="P182" s="24"/>
      <c r="Q182" s="24"/>
      <c r="R182" s="24"/>
      <c r="S182" s="24"/>
      <c r="T182" s="24"/>
      <c r="U182" s="24"/>
      <c r="V182" s="24"/>
      <c r="W182" s="24"/>
      <c r="X182" s="24"/>
      <c r="Y182" s="24"/>
      <c r="Z182" s="24"/>
      <c r="AA182" s="24"/>
      <c r="AB182" s="24"/>
    </row>
    <row r="183" spans="14:28" ht="15.75" customHeight="1">
      <c r="N183" s="24"/>
      <c r="O183" s="24"/>
      <c r="P183" s="24"/>
      <c r="Q183" s="24"/>
      <c r="R183" s="24"/>
      <c r="S183" s="24"/>
      <c r="T183" s="24"/>
      <c r="U183" s="24"/>
      <c r="V183" s="24"/>
      <c r="W183" s="24"/>
      <c r="X183" s="24"/>
      <c r="Y183" s="24"/>
      <c r="Z183" s="24"/>
      <c r="AA183" s="24"/>
      <c r="AB183" s="24"/>
    </row>
    <row r="184" spans="14:28" ht="15.75" customHeight="1">
      <c r="N184" s="24"/>
      <c r="O184" s="24"/>
      <c r="P184" s="24"/>
      <c r="Q184" s="24"/>
      <c r="R184" s="24"/>
      <c r="S184" s="24"/>
      <c r="T184" s="24"/>
      <c r="U184" s="24"/>
      <c r="V184" s="24"/>
      <c r="W184" s="24"/>
      <c r="X184" s="24"/>
      <c r="Y184" s="24"/>
      <c r="Z184" s="24"/>
      <c r="AA184" s="24"/>
      <c r="AB184" s="24"/>
    </row>
    <row r="185" spans="14:28" ht="15.75" customHeight="1">
      <c r="N185" s="24"/>
      <c r="O185" s="24"/>
      <c r="P185" s="24"/>
      <c r="Q185" s="24"/>
      <c r="R185" s="24"/>
      <c r="S185" s="24"/>
      <c r="T185" s="24"/>
      <c r="U185" s="24"/>
      <c r="V185" s="24"/>
      <c r="W185" s="24"/>
      <c r="X185" s="24"/>
      <c r="Y185" s="24"/>
      <c r="Z185" s="24"/>
      <c r="AA185" s="24"/>
      <c r="AB185" s="24"/>
    </row>
    <row r="186" spans="14:28" ht="15.75" customHeight="1">
      <c r="N186" s="24"/>
      <c r="O186" s="24"/>
      <c r="P186" s="24"/>
      <c r="Q186" s="24"/>
      <c r="R186" s="24"/>
      <c r="S186" s="24"/>
      <c r="T186" s="24"/>
      <c r="U186" s="24"/>
      <c r="V186" s="24"/>
      <c r="W186" s="24"/>
      <c r="X186" s="24"/>
      <c r="Y186" s="24"/>
      <c r="Z186" s="24"/>
      <c r="AA186" s="24"/>
      <c r="AB186" s="24"/>
    </row>
    <row r="187" spans="14:28" ht="15.75" customHeight="1">
      <c r="N187" s="24"/>
      <c r="O187" s="24"/>
      <c r="P187" s="24"/>
      <c r="Q187" s="24"/>
      <c r="R187" s="24"/>
      <c r="S187" s="24"/>
      <c r="T187" s="24"/>
      <c r="U187" s="24"/>
      <c r="V187" s="24"/>
      <c r="W187" s="24"/>
      <c r="X187" s="24"/>
      <c r="Y187" s="24"/>
      <c r="Z187" s="24"/>
      <c r="AA187" s="24"/>
      <c r="AB187" s="24"/>
    </row>
    <row r="188" spans="14:28" ht="15.75" customHeight="1">
      <c r="N188" s="24"/>
      <c r="O188" s="24"/>
      <c r="P188" s="24"/>
      <c r="Q188" s="24"/>
      <c r="R188" s="24"/>
      <c r="S188" s="24"/>
      <c r="T188" s="24"/>
      <c r="U188" s="24"/>
      <c r="V188" s="24"/>
      <c r="W188" s="24"/>
      <c r="X188" s="24"/>
      <c r="Y188" s="24"/>
      <c r="Z188" s="24"/>
      <c r="AA188" s="24"/>
      <c r="AB188" s="24"/>
    </row>
    <row r="189" spans="14:28" ht="15.75" customHeight="1">
      <c r="N189" s="24"/>
      <c r="O189" s="24"/>
      <c r="P189" s="24"/>
      <c r="Q189" s="24"/>
      <c r="R189" s="24"/>
      <c r="S189" s="24"/>
      <c r="T189" s="24"/>
      <c r="U189" s="24"/>
      <c r="V189" s="24"/>
      <c r="W189" s="24"/>
      <c r="X189" s="24"/>
      <c r="Y189" s="24"/>
      <c r="Z189" s="24"/>
      <c r="AA189" s="24"/>
      <c r="AB189" s="24"/>
    </row>
    <row r="190" spans="14:28" ht="15.75" customHeight="1">
      <c r="N190" s="24"/>
      <c r="O190" s="24"/>
      <c r="P190" s="24"/>
      <c r="Q190" s="24"/>
      <c r="R190" s="24"/>
      <c r="S190" s="24"/>
      <c r="T190" s="24"/>
      <c r="U190" s="24"/>
      <c r="V190" s="24"/>
      <c r="W190" s="24"/>
      <c r="X190" s="24"/>
      <c r="Y190" s="24"/>
      <c r="Z190" s="24"/>
      <c r="AA190" s="24"/>
      <c r="AB190" s="24"/>
    </row>
    <row r="191" spans="14:28" ht="15.75" customHeight="1">
      <c r="N191" s="24"/>
      <c r="O191" s="24"/>
      <c r="P191" s="24"/>
      <c r="Q191" s="24"/>
      <c r="R191" s="24"/>
      <c r="S191" s="24"/>
      <c r="T191" s="24"/>
      <c r="U191" s="24"/>
      <c r="V191" s="24"/>
      <c r="W191" s="24"/>
      <c r="X191" s="24"/>
      <c r="Y191" s="24"/>
      <c r="Z191" s="24"/>
      <c r="AA191" s="24"/>
      <c r="AB191" s="24"/>
    </row>
    <row r="192" spans="14:28" ht="15.75" customHeight="1">
      <c r="N192" s="24"/>
      <c r="O192" s="24"/>
      <c r="P192" s="24"/>
      <c r="Q192" s="24"/>
      <c r="R192" s="24"/>
      <c r="S192" s="24"/>
      <c r="T192" s="24"/>
      <c r="U192" s="24"/>
      <c r="V192" s="24"/>
      <c r="W192" s="24"/>
      <c r="X192" s="24"/>
      <c r="Y192" s="24"/>
      <c r="Z192" s="24"/>
      <c r="AA192" s="24"/>
      <c r="AB192" s="24"/>
    </row>
    <row r="193" spans="14:28" ht="15.75" customHeight="1">
      <c r="N193" s="24"/>
      <c r="O193" s="24"/>
      <c r="P193" s="24"/>
      <c r="Q193" s="24"/>
      <c r="R193" s="24"/>
      <c r="S193" s="24"/>
      <c r="T193" s="24"/>
      <c r="U193" s="24"/>
      <c r="V193" s="24"/>
      <c r="W193" s="24"/>
      <c r="X193" s="24"/>
      <c r="Y193" s="24"/>
      <c r="Z193" s="24"/>
      <c r="AA193" s="24"/>
      <c r="AB193" s="24"/>
    </row>
    <row r="194" spans="14:28" ht="15.75" customHeight="1">
      <c r="N194" s="24"/>
      <c r="O194" s="24"/>
      <c r="P194" s="24"/>
      <c r="Q194" s="24"/>
      <c r="R194" s="24"/>
      <c r="S194" s="24"/>
      <c r="T194" s="24"/>
      <c r="U194" s="24"/>
      <c r="V194" s="24"/>
      <c r="W194" s="24"/>
      <c r="X194" s="24"/>
      <c r="Y194" s="24"/>
      <c r="Z194" s="24"/>
      <c r="AA194" s="24"/>
      <c r="AB194" s="24"/>
    </row>
    <row r="195" spans="14:28" ht="15.75" customHeight="1">
      <c r="N195" s="24"/>
      <c r="O195" s="24"/>
      <c r="P195" s="24"/>
      <c r="Q195" s="24"/>
      <c r="R195" s="24"/>
      <c r="S195" s="24"/>
      <c r="T195" s="24"/>
      <c r="U195" s="24"/>
      <c r="V195" s="24"/>
      <c r="W195" s="24"/>
      <c r="X195" s="24"/>
      <c r="Y195" s="24"/>
      <c r="Z195" s="24"/>
      <c r="AA195" s="24"/>
      <c r="AB195" s="24"/>
    </row>
    <row r="196" spans="14:28" ht="15.75" customHeight="1">
      <c r="N196" s="24"/>
      <c r="O196" s="24"/>
      <c r="P196" s="24"/>
      <c r="Q196" s="24"/>
      <c r="R196" s="24"/>
      <c r="S196" s="24"/>
      <c r="T196" s="24"/>
      <c r="U196" s="24"/>
      <c r="V196" s="24"/>
      <c r="W196" s="24"/>
      <c r="X196" s="24"/>
      <c r="Y196" s="24"/>
      <c r="Z196" s="24"/>
      <c r="AA196" s="24"/>
      <c r="AB196" s="24"/>
    </row>
    <row r="197" spans="14:28" ht="15.75" customHeight="1">
      <c r="N197" s="24"/>
      <c r="O197" s="24"/>
      <c r="P197" s="24"/>
      <c r="Q197" s="24"/>
      <c r="R197" s="24"/>
      <c r="S197" s="24"/>
      <c r="T197" s="24"/>
      <c r="U197" s="24"/>
      <c r="V197" s="24"/>
      <c r="W197" s="24"/>
      <c r="X197" s="24"/>
      <c r="Y197" s="24"/>
      <c r="Z197" s="24"/>
      <c r="AA197" s="24"/>
      <c r="AB197" s="24"/>
    </row>
    <row r="198" spans="14:28" ht="15.75" customHeight="1">
      <c r="N198" s="24"/>
      <c r="O198" s="24"/>
      <c r="P198" s="24"/>
      <c r="Q198" s="24"/>
      <c r="R198" s="24"/>
      <c r="S198" s="24"/>
      <c r="T198" s="24"/>
      <c r="U198" s="24"/>
      <c r="V198" s="24"/>
      <c r="W198" s="24"/>
      <c r="X198" s="24"/>
      <c r="Y198" s="24"/>
      <c r="Z198" s="24"/>
      <c r="AA198" s="24"/>
      <c r="AB198" s="24"/>
    </row>
    <row r="199" spans="14:28" ht="15.75" customHeight="1">
      <c r="N199" s="24"/>
      <c r="O199" s="24"/>
      <c r="P199" s="24"/>
      <c r="Q199" s="24"/>
      <c r="R199" s="24"/>
      <c r="S199" s="24"/>
      <c r="T199" s="24"/>
      <c r="U199" s="24"/>
      <c r="V199" s="24"/>
      <c r="W199" s="24"/>
      <c r="X199" s="24"/>
      <c r="Y199" s="24"/>
      <c r="Z199" s="24"/>
      <c r="AA199" s="24"/>
      <c r="AB199" s="24"/>
    </row>
    <row r="200" spans="14:28" ht="15.75" customHeight="1">
      <c r="N200" s="24"/>
      <c r="O200" s="24"/>
      <c r="P200" s="24"/>
      <c r="Q200" s="24"/>
      <c r="R200" s="24"/>
      <c r="S200" s="24"/>
      <c r="T200" s="24"/>
      <c r="U200" s="24"/>
      <c r="V200" s="24"/>
      <c r="W200" s="24"/>
      <c r="X200" s="24"/>
      <c r="Y200" s="24"/>
      <c r="Z200" s="24"/>
      <c r="AA200" s="24"/>
      <c r="AB200" s="24"/>
    </row>
    <row r="201" spans="14:28" ht="15.75" customHeight="1">
      <c r="N201" s="24"/>
      <c r="O201" s="24"/>
      <c r="P201" s="24"/>
      <c r="Q201" s="24"/>
      <c r="R201" s="24"/>
      <c r="S201" s="24"/>
      <c r="T201" s="24"/>
      <c r="U201" s="24"/>
      <c r="V201" s="24"/>
      <c r="W201" s="24"/>
      <c r="X201" s="24"/>
      <c r="Y201" s="24"/>
      <c r="Z201" s="24"/>
      <c r="AA201" s="24"/>
      <c r="AB201" s="24"/>
    </row>
    <row r="202" spans="14:28" ht="15.75" customHeight="1">
      <c r="N202" s="24"/>
      <c r="O202" s="24"/>
      <c r="P202" s="24"/>
      <c r="Q202" s="24"/>
      <c r="R202" s="24"/>
      <c r="S202" s="24"/>
      <c r="T202" s="24"/>
      <c r="U202" s="24"/>
      <c r="V202" s="24"/>
      <c r="W202" s="24"/>
      <c r="X202" s="24"/>
      <c r="Y202" s="24"/>
      <c r="Z202" s="24"/>
      <c r="AA202" s="24"/>
      <c r="AB202" s="24"/>
    </row>
    <row r="203" spans="14:28" ht="15.75" customHeight="1">
      <c r="N203" s="24"/>
      <c r="O203" s="24"/>
      <c r="P203" s="24"/>
      <c r="Q203" s="24"/>
      <c r="R203" s="24"/>
      <c r="S203" s="24"/>
      <c r="T203" s="24"/>
      <c r="U203" s="24"/>
      <c r="V203" s="24"/>
      <c r="W203" s="24"/>
      <c r="X203" s="24"/>
      <c r="Y203" s="24"/>
      <c r="Z203" s="24"/>
      <c r="AA203" s="24"/>
      <c r="AB203" s="24"/>
    </row>
    <row r="204" spans="14:28" ht="15.75" customHeight="1">
      <c r="N204" s="24"/>
      <c r="O204" s="24"/>
      <c r="P204" s="24"/>
      <c r="Q204" s="24"/>
      <c r="R204" s="24"/>
      <c r="S204" s="24"/>
      <c r="T204" s="24"/>
      <c r="U204" s="24"/>
      <c r="V204" s="24"/>
      <c r="W204" s="24"/>
      <c r="X204" s="24"/>
      <c r="Y204" s="24"/>
      <c r="Z204" s="24"/>
      <c r="AA204" s="24"/>
      <c r="AB204" s="24"/>
    </row>
    <row r="205" spans="14:28" ht="15.75" customHeight="1">
      <c r="N205" s="24"/>
      <c r="O205" s="24"/>
      <c r="P205" s="24"/>
      <c r="Q205" s="24"/>
      <c r="R205" s="24"/>
      <c r="S205" s="24"/>
      <c r="T205" s="24"/>
      <c r="U205" s="24"/>
      <c r="V205" s="24"/>
      <c r="W205" s="24"/>
      <c r="X205" s="24"/>
      <c r="Y205" s="24"/>
      <c r="Z205" s="24"/>
      <c r="AA205" s="24"/>
      <c r="AB205" s="24"/>
    </row>
    <row r="206" spans="14:28" ht="15.75" customHeight="1">
      <c r="N206" s="24"/>
      <c r="O206" s="24"/>
      <c r="P206" s="24"/>
      <c r="Q206" s="24"/>
      <c r="R206" s="24"/>
      <c r="S206" s="24"/>
      <c r="T206" s="24"/>
      <c r="U206" s="24"/>
      <c r="V206" s="24"/>
      <c r="W206" s="24"/>
      <c r="X206" s="24"/>
      <c r="Y206" s="24"/>
      <c r="Z206" s="24"/>
      <c r="AA206" s="24"/>
      <c r="AB206" s="24"/>
    </row>
    <row r="207" spans="14:28" ht="15.75" customHeight="1">
      <c r="N207" s="24"/>
      <c r="O207" s="24"/>
      <c r="P207" s="24"/>
      <c r="Q207" s="24"/>
      <c r="R207" s="24"/>
      <c r="S207" s="24"/>
      <c r="T207" s="24"/>
      <c r="U207" s="24"/>
      <c r="V207" s="24"/>
      <c r="W207" s="24"/>
      <c r="X207" s="24"/>
      <c r="Y207" s="24"/>
      <c r="Z207" s="24"/>
      <c r="AA207" s="24"/>
      <c r="AB207" s="24"/>
    </row>
    <row r="208" spans="14:28" ht="15.75" customHeight="1">
      <c r="N208" s="24"/>
      <c r="O208" s="24"/>
      <c r="P208" s="24"/>
      <c r="Q208" s="24"/>
      <c r="R208" s="24"/>
      <c r="S208" s="24"/>
      <c r="T208" s="24"/>
      <c r="U208" s="24"/>
      <c r="V208" s="24"/>
      <c r="W208" s="24"/>
      <c r="X208" s="24"/>
      <c r="Y208" s="24"/>
      <c r="Z208" s="24"/>
      <c r="AA208" s="24"/>
      <c r="AB208" s="24"/>
    </row>
    <row r="209" spans="14:28" ht="15.75" customHeight="1">
      <c r="N209" s="24"/>
      <c r="O209" s="24"/>
      <c r="P209" s="24"/>
      <c r="Q209" s="24"/>
      <c r="R209" s="24"/>
      <c r="S209" s="24"/>
      <c r="T209" s="24"/>
      <c r="U209" s="24"/>
      <c r="V209" s="24"/>
      <c r="W209" s="24"/>
      <c r="X209" s="24"/>
      <c r="Y209" s="24"/>
      <c r="Z209" s="24"/>
      <c r="AA209" s="24"/>
      <c r="AB209" s="24"/>
    </row>
    <row r="210" spans="14:28" ht="15.75" customHeight="1">
      <c r="N210" s="24"/>
      <c r="O210" s="24"/>
      <c r="P210" s="24"/>
      <c r="Q210" s="24"/>
      <c r="R210" s="24"/>
      <c r="S210" s="24"/>
      <c r="T210" s="24"/>
      <c r="U210" s="24"/>
      <c r="V210" s="24"/>
      <c r="W210" s="24"/>
      <c r="X210" s="24"/>
      <c r="Y210" s="24"/>
      <c r="Z210" s="24"/>
      <c r="AA210" s="24"/>
      <c r="AB210" s="24"/>
    </row>
    <row r="211" spans="14:28" ht="15.75" customHeight="1">
      <c r="N211" s="24"/>
      <c r="O211" s="24"/>
      <c r="P211" s="24"/>
      <c r="Q211" s="24"/>
      <c r="R211" s="24"/>
      <c r="S211" s="24"/>
      <c r="T211" s="24"/>
      <c r="U211" s="24"/>
      <c r="V211" s="24"/>
      <c r="W211" s="24"/>
      <c r="X211" s="24"/>
      <c r="Y211" s="24"/>
      <c r="Z211" s="24"/>
      <c r="AA211" s="24"/>
      <c r="AB211" s="24"/>
    </row>
    <row r="212" spans="14:28" ht="15.75" customHeight="1">
      <c r="N212" s="24"/>
      <c r="O212" s="24"/>
      <c r="P212" s="24"/>
      <c r="Q212" s="24"/>
      <c r="R212" s="24"/>
      <c r="S212" s="24"/>
      <c r="T212" s="24"/>
      <c r="U212" s="24"/>
      <c r="V212" s="24"/>
      <c r="W212" s="24"/>
      <c r="X212" s="24"/>
      <c r="Y212" s="24"/>
      <c r="Z212" s="24"/>
      <c r="AA212" s="24"/>
      <c r="AB212" s="24"/>
    </row>
    <row r="213" spans="14:28" ht="15.75" customHeight="1">
      <c r="N213" s="24"/>
      <c r="O213" s="24"/>
      <c r="P213" s="24"/>
      <c r="Q213" s="24"/>
      <c r="R213" s="24"/>
      <c r="S213" s="24"/>
      <c r="T213" s="24"/>
      <c r="U213" s="24"/>
      <c r="V213" s="24"/>
      <c r="W213" s="24"/>
      <c r="X213" s="24"/>
      <c r="Y213" s="24"/>
      <c r="Z213" s="24"/>
      <c r="AA213" s="24"/>
      <c r="AB213" s="24"/>
    </row>
    <row r="214" spans="14:28" ht="15.75" customHeight="1">
      <c r="N214" s="24"/>
      <c r="O214" s="24"/>
      <c r="P214" s="24"/>
      <c r="Q214" s="24"/>
      <c r="R214" s="24"/>
      <c r="S214" s="24"/>
      <c r="T214" s="24"/>
      <c r="U214" s="24"/>
      <c r="V214" s="24"/>
      <c r="W214" s="24"/>
      <c r="X214" s="24"/>
      <c r="Y214" s="24"/>
      <c r="Z214" s="24"/>
      <c r="AA214" s="24"/>
      <c r="AB214" s="24"/>
    </row>
    <row r="215" spans="14:28" ht="15.75" customHeight="1">
      <c r="N215" s="24"/>
      <c r="O215" s="24"/>
      <c r="P215" s="24"/>
      <c r="Q215" s="24"/>
      <c r="R215" s="24"/>
      <c r="S215" s="24"/>
      <c r="T215" s="24"/>
      <c r="U215" s="24"/>
      <c r="V215" s="24"/>
      <c r="W215" s="24"/>
      <c r="X215" s="24"/>
      <c r="Y215" s="24"/>
      <c r="Z215" s="24"/>
      <c r="AA215" s="24"/>
      <c r="AB215" s="24"/>
    </row>
    <row r="216" spans="14:28" ht="15.75" customHeight="1">
      <c r="N216" s="24"/>
      <c r="O216" s="24"/>
      <c r="P216" s="24"/>
      <c r="Q216" s="24"/>
      <c r="R216" s="24"/>
      <c r="S216" s="24"/>
      <c r="T216" s="24"/>
      <c r="U216" s="24"/>
      <c r="V216" s="24"/>
      <c r="W216" s="24"/>
      <c r="X216" s="24"/>
      <c r="Y216" s="24"/>
      <c r="Z216" s="24"/>
      <c r="AA216" s="24"/>
      <c r="AB216" s="24"/>
    </row>
    <row r="217" spans="14:28" ht="15.75" customHeight="1">
      <c r="N217" s="24"/>
      <c r="O217" s="24"/>
      <c r="P217" s="24"/>
      <c r="Q217" s="24"/>
      <c r="R217" s="24"/>
      <c r="S217" s="24"/>
      <c r="T217" s="24"/>
      <c r="U217" s="24"/>
      <c r="V217" s="24"/>
      <c r="W217" s="24"/>
      <c r="X217" s="24"/>
      <c r="Y217" s="24"/>
      <c r="Z217" s="24"/>
      <c r="AA217" s="24"/>
      <c r="AB217" s="24"/>
    </row>
    <row r="218" spans="14:28" ht="15.75" customHeight="1">
      <c r="N218" s="24"/>
      <c r="O218" s="24"/>
      <c r="P218" s="24"/>
      <c r="Q218" s="24"/>
      <c r="R218" s="24"/>
      <c r="S218" s="24"/>
      <c r="T218" s="24"/>
      <c r="U218" s="24"/>
      <c r="V218" s="24"/>
      <c r="W218" s="24"/>
      <c r="X218" s="24"/>
      <c r="Y218" s="24"/>
      <c r="Z218" s="24"/>
      <c r="AA218" s="24"/>
      <c r="AB218" s="24"/>
    </row>
    <row r="219" spans="14:28" ht="15.75" customHeight="1">
      <c r="N219" s="24"/>
      <c r="O219" s="24"/>
      <c r="P219" s="24"/>
      <c r="Q219" s="24"/>
      <c r="R219" s="24"/>
      <c r="S219" s="24"/>
      <c r="T219" s="24"/>
      <c r="U219" s="24"/>
      <c r="V219" s="24"/>
      <c r="W219" s="24"/>
      <c r="X219" s="24"/>
      <c r="Y219" s="24"/>
      <c r="Z219" s="24"/>
      <c r="AA219" s="24"/>
      <c r="AB219" s="24"/>
    </row>
    <row r="220" spans="14:28" ht="15.75" customHeight="1">
      <c r="N220" s="24"/>
      <c r="O220" s="24"/>
      <c r="P220" s="24"/>
      <c r="Q220" s="24"/>
      <c r="R220" s="24"/>
      <c r="S220" s="24"/>
      <c r="T220" s="24"/>
      <c r="U220" s="24"/>
      <c r="V220" s="24"/>
      <c r="W220" s="24"/>
      <c r="X220" s="24"/>
      <c r="Y220" s="24"/>
      <c r="Z220" s="24"/>
      <c r="AA220" s="24"/>
      <c r="AB220" s="24"/>
    </row>
    <row r="221" spans="14:28" ht="15.75" customHeight="1">
      <c r="N221" s="24"/>
      <c r="O221" s="24"/>
      <c r="P221" s="24"/>
      <c r="Q221" s="24"/>
      <c r="R221" s="24"/>
      <c r="S221" s="24"/>
      <c r="T221" s="24"/>
      <c r="U221" s="24"/>
      <c r="V221" s="24"/>
      <c r="W221" s="24"/>
      <c r="X221" s="24"/>
      <c r="Y221" s="24"/>
      <c r="Z221" s="24"/>
      <c r="AA221" s="24"/>
      <c r="AB221" s="24"/>
    </row>
    <row r="222" spans="14:28" ht="15.75" customHeight="1">
      <c r="N222" s="24"/>
      <c r="O222" s="24"/>
      <c r="P222" s="24"/>
      <c r="Q222" s="24"/>
      <c r="R222" s="24"/>
      <c r="S222" s="24"/>
      <c r="T222" s="24"/>
      <c r="U222" s="24"/>
      <c r="V222" s="24"/>
      <c r="W222" s="24"/>
      <c r="X222" s="24"/>
      <c r="Y222" s="24"/>
      <c r="Z222" s="24"/>
      <c r="AA222" s="24"/>
      <c r="AB222" s="24"/>
    </row>
    <row r="223" spans="14:28" ht="15.75" customHeight="1">
      <c r="N223" s="24"/>
      <c r="O223" s="24"/>
      <c r="P223" s="24"/>
      <c r="Q223" s="24"/>
      <c r="R223" s="24"/>
      <c r="S223" s="24"/>
      <c r="T223" s="24"/>
      <c r="U223" s="24"/>
      <c r="V223" s="24"/>
      <c r="W223" s="24"/>
      <c r="X223" s="24"/>
      <c r="Y223" s="24"/>
      <c r="Z223" s="24"/>
      <c r="AA223" s="24"/>
      <c r="AB223" s="24"/>
    </row>
    <row r="224" spans="14:28" ht="15.75" customHeight="1">
      <c r="N224" s="24"/>
      <c r="O224" s="24"/>
      <c r="P224" s="24"/>
      <c r="Q224" s="24"/>
      <c r="R224" s="24"/>
      <c r="S224" s="24"/>
      <c r="T224" s="24"/>
      <c r="U224" s="24"/>
      <c r="V224" s="24"/>
      <c r="W224" s="24"/>
      <c r="X224" s="24"/>
      <c r="Y224" s="24"/>
      <c r="Z224" s="24"/>
      <c r="AA224" s="24"/>
      <c r="AB224" s="24"/>
    </row>
    <row r="225" spans="14:28" ht="15.75" customHeight="1">
      <c r="N225" s="24"/>
      <c r="O225" s="24"/>
      <c r="P225" s="24"/>
      <c r="Q225" s="24"/>
      <c r="R225" s="24"/>
      <c r="S225" s="24"/>
      <c r="T225" s="24"/>
      <c r="U225" s="24"/>
      <c r="V225" s="24"/>
      <c r="W225" s="24"/>
      <c r="X225" s="24"/>
      <c r="Y225" s="24"/>
      <c r="Z225" s="24"/>
      <c r="AA225" s="24"/>
      <c r="AB225" s="24"/>
    </row>
    <row r="226" spans="14:28" ht="15.75" customHeight="1">
      <c r="N226" s="24"/>
      <c r="O226" s="24"/>
      <c r="P226" s="24"/>
      <c r="Q226" s="24"/>
      <c r="R226" s="24"/>
      <c r="S226" s="24"/>
      <c r="T226" s="24"/>
      <c r="U226" s="24"/>
      <c r="V226" s="24"/>
      <c r="W226" s="24"/>
      <c r="X226" s="24"/>
      <c r="Y226" s="24"/>
      <c r="Z226" s="24"/>
      <c r="AA226" s="24"/>
      <c r="AB226" s="24"/>
    </row>
    <row r="227" spans="14:28" ht="15.75" customHeight="1">
      <c r="N227" s="24"/>
      <c r="O227" s="24"/>
      <c r="P227" s="24"/>
      <c r="Q227" s="24"/>
      <c r="R227" s="24"/>
      <c r="S227" s="24"/>
      <c r="T227" s="24"/>
      <c r="U227" s="24"/>
      <c r="V227" s="24"/>
      <c r="W227" s="24"/>
      <c r="X227" s="24"/>
      <c r="Y227" s="24"/>
      <c r="Z227" s="24"/>
      <c r="AA227" s="24"/>
      <c r="AB227" s="24"/>
    </row>
    <row r="228" spans="14:28" ht="15.75" customHeight="1">
      <c r="N228" s="24"/>
      <c r="O228" s="24"/>
      <c r="P228" s="24"/>
      <c r="Q228" s="24"/>
      <c r="R228" s="24"/>
      <c r="S228" s="24"/>
      <c r="T228" s="24"/>
      <c r="U228" s="24"/>
      <c r="V228" s="24"/>
      <c r="W228" s="24"/>
      <c r="X228" s="24"/>
      <c r="Y228" s="24"/>
      <c r="Z228" s="24"/>
      <c r="AA228" s="24"/>
      <c r="AB228" s="24"/>
    </row>
    <row r="229" spans="14:28" ht="15.75" customHeight="1">
      <c r="N229" s="24"/>
      <c r="O229" s="24"/>
      <c r="P229" s="24"/>
      <c r="Q229" s="24"/>
      <c r="R229" s="24"/>
      <c r="S229" s="24"/>
      <c r="T229" s="24"/>
      <c r="U229" s="24"/>
      <c r="V229" s="24"/>
      <c r="W229" s="24"/>
      <c r="X229" s="24"/>
      <c r="Y229" s="24"/>
      <c r="Z229" s="24"/>
      <c r="AA229" s="24"/>
      <c r="AB229" s="24"/>
    </row>
    <row r="230" spans="14:28" ht="15.75" customHeight="1">
      <c r="N230" s="24"/>
      <c r="O230" s="24"/>
      <c r="P230" s="24"/>
      <c r="Q230" s="24"/>
      <c r="R230" s="24"/>
      <c r="S230" s="24"/>
      <c r="T230" s="24"/>
      <c r="U230" s="24"/>
      <c r="V230" s="24"/>
      <c r="W230" s="24"/>
      <c r="X230" s="24"/>
      <c r="Y230" s="24"/>
      <c r="Z230" s="24"/>
      <c r="AA230" s="24"/>
      <c r="AB230" s="24"/>
    </row>
    <row r="231" spans="14:28" ht="15.75" customHeight="1">
      <c r="N231" s="24"/>
      <c r="O231" s="24"/>
      <c r="P231" s="24"/>
      <c r="Q231" s="24"/>
      <c r="R231" s="24"/>
      <c r="S231" s="24"/>
      <c r="T231" s="24"/>
      <c r="U231" s="24"/>
      <c r="V231" s="24"/>
      <c r="W231" s="24"/>
      <c r="X231" s="24"/>
      <c r="Y231" s="24"/>
      <c r="Z231" s="24"/>
      <c r="AA231" s="24"/>
      <c r="AB231" s="24"/>
    </row>
    <row r="232" spans="14:28" ht="15.75" customHeight="1">
      <c r="N232" s="24"/>
      <c r="O232" s="24"/>
      <c r="P232" s="24"/>
      <c r="Q232" s="24"/>
      <c r="R232" s="24"/>
      <c r="S232" s="24"/>
      <c r="T232" s="24"/>
      <c r="U232" s="24"/>
      <c r="V232" s="24"/>
      <c r="W232" s="24"/>
      <c r="X232" s="24"/>
      <c r="Y232" s="24"/>
      <c r="Z232" s="24"/>
      <c r="AA232" s="24"/>
      <c r="AB232" s="24"/>
    </row>
    <row r="233" spans="14:28" ht="15.75" customHeight="1">
      <c r="N233" s="24"/>
      <c r="O233" s="24"/>
      <c r="P233" s="24"/>
      <c r="Q233" s="24"/>
      <c r="R233" s="24"/>
      <c r="S233" s="24"/>
      <c r="T233" s="24"/>
      <c r="U233" s="24"/>
      <c r="V233" s="24"/>
      <c r="W233" s="24"/>
      <c r="X233" s="24"/>
      <c r="Y233" s="24"/>
      <c r="Z233" s="24"/>
      <c r="AA233" s="24"/>
      <c r="AB233" s="24"/>
    </row>
    <row r="234" spans="14:28" ht="15.75" customHeight="1">
      <c r="N234" s="24"/>
      <c r="O234" s="24"/>
      <c r="P234" s="24"/>
      <c r="Q234" s="24"/>
      <c r="R234" s="24"/>
      <c r="S234" s="24"/>
      <c r="T234" s="24"/>
      <c r="U234" s="24"/>
      <c r="V234" s="24"/>
      <c r="W234" s="24"/>
      <c r="X234" s="24"/>
      <c r="Y234" s="24"/>
      <c r="Z234" s="24"/>
      <c r="AA234" s="24"/>
      <c r="AB234" s="24"/>
    </row>
    <row r="235" spans="14:28" ht="15.75" customHeight="1">
      <c r="N235" s="24"/>
      <c r="O235" s="24"/>
      <c r="P235" s="24"/>
      <c r="Q235" s="24"/>
      <c r="R235" s="24"/>
      <c r="S235" s="24"/>
      <c r="T235" s="24"/>
      <c r="U235" s="24"/>
      <c r="V235" s="24"/>
      <c r="W235" s="24"/>
      <c r="X235" s="24"/>
      <c r="Y235" s="24"/>
      <c r="Z235" s="24"/>
      <c r="AA235" s="24"/>
      <c r="AB235" s="24"/>
    </row>
    <row r="236" spans="14:28" ht="15.75" customHeight="1">
      <c r="N236" s="24"/>
      <c r="O236" s="24"/>
      <c r="P236" s="24"/>
      <c r="Q236" s="24"/>
      <c r="R236" s="24"/>
      <c r="S236" s="24"/>
      <c r="T236" s="24"/>
      <c r="U236" s="24"/>
      <c r="V236" s="24"/>
      <c r="W236" s="24"/>
      <c r="X236" s="24"/>
      <c r="Y236" s="24"/>
      <c r="Z236" s="24"/>
      <c r="AA236" s="24"/>
      <c r="AB236" s="24"/>
    </row>
    <row r="237" spans="14:28" ht="15.75" customHeight="1">
      <c r="N237" s="24"/>
      <c r="O237" s="24"/>
      <c r="P237" s="24"/>
      <c r="Q237" s="24"/>
      <c r="R237" s="24"/>
      <c r="S237" s="24"/>
      <c r="T237" s="24"/>
      <c r="U237" s="24"/>
      <c r="V237" s="24"/>
      <c r="W237" s="24"/>
      <c r="X237" s="24"/>
      <c r="Y237" s="24"/>
      <c r="Z237" s="24"/>
      <c r="AA237" s="24"/>
      <c r="AB237" s="24"/>
    </row>
    <row r="238" spans="14:28" ht="15.75" customHeight="1">
      <c r="N238" s="24"/>
      <c r="O238" s="24"/>
      <c r="P238" s="24"/>
      <c r="Q238" s="24"/>
      <c r="R238" s="24"/>
      <c r="S238" s="24"/>
      <c r="T238" s="24"/>
      <c r="U238" s="24"/>
      <c r="V238" s="24"/>
      <c r="W238" s="24"/>
      <c r="X238" s="24"/>
      <c r="Y238" s="24"/>
      <c r="Z238" s="24"/>
      <c r="AA238" s="24"/>
      <c r="AB238" s="24"/>
    </row>
    <row r="239" spans="14:28" ht="15.75" customHeight="1">
      <c r="N239" s="24"/>
      <c r="O239" s="24"/>
      <c r="P239" s="24"/>
      <c r="Q239" s="24"/>
      <c r="R239" s="24"/>
      <c r="S239" s="24"/>
      <c r="T239" s="24"/>
      <c r="U239" s="24"/>
      <c r="V239" s="24"/>
      <c r="W239" s="24"/>
      <c r="X239" s="24"/>
      <c r="Y239" s="24"/>
      <c r="Z239" s="24"/>
      <c r="AA239" s="24"/>
      <c r="AB239" s="24"/>
    </row>
    <row r="240" spans="14:28" ht="15.75" customHeight="1">
      <c r="N240" s="24"/>
      <c r="O240" s="24"/>
      <c r="P240" s="24"/>
      <c r="Q240" s="24"/>
      <c r="R240" s="24"/>
      <c r="S240" s="24"/>
      <c r="T240" s="24"/>
      <c r="U240" s="24"/>
      <c r="V240" s="24"/>
      <c r="W240" s="24"/>
      <c r="X240" s="24"/>
      <c r="Y240" s="24"/>
      <c r="Z240" s="24"/>
      <c r="AA240" s="24"/>
      <c r="AB240" s="24"/>
    </row>
    <row r="241" spans="14:28" ht="15.75" customHeight="1">
      <c r="N241" s="24"/>
      <c r="O241" s="24"/>
      <c r="P241" s="24"/>
      <c r="Q241" s="24"/>
      <c r="R241" s="24"/>
      <c r="S241" s="24"/>
      <c r="T241" s="24"/>
      <c r="U241" s="24"/>
      <c r="V241" s="24"/>
      <c r="W241" s="24"/>
      <c r="X241" s="24"/>
      <c r="Y241" s="24"/>
      <c r="Z241" s="24"/>
      <c r="AA241" s="24"/>
      <c r="AB241" s="24"/>
    </row>
    <row r="242" spans="14:28" ht="15.75" customHeight="1">
      <c r="N242" s="24"/>
      <c r="O242" s="24"/>
      <c r="P242" s="24"/>
      <c r="Q242" s="24"/>
      <c r="R242" s="24"/>
      <c r="S242" s="24"/>
      <c r="T242" s="24"/>
      <c r="U242" s="24"/>
      <c r="V242" s="24"/>
      <c r="W242" s="24"/>
      <c r="X242" s="24"/>
      <c r="Y242" s="24"/>
      <c r="Z242" s="24"/>
      <c r="AA242" s="24"/>
      <c r="AB242" s="24"/>
    </row>
    <row r="243" spans="14:28" ht="15.75" customHeight="1">
      <c r="N243" s="24"/>
      <c r="O243" s="24"/>
      <c r="P243" s="24"/>
      <c r="Q243" s="24"/>
      <c r="R243" s="24"/>
      <c r="S243" s="24"/>
      <c r="T243" s="24"/>
      <c r="U243" s="24"/>
      <c r="V243" s="24"/>
      <c r="W243" s="24"/>
      <c r="X243" s="24"/>
      <c r="Y243" s="24"/>
      <c r="Z243" s="24"/>
      <c r="AA243" s="24"/>
      <c r="AB243" s="24"/>
    </row>
    <row r="244" spans="14:28" ht="15.75" customHeight="1">
      <c r="N244" s="24"/>
      <c r="O244" s="24"/>
      <c r="P244" s="24"/>
      <c r="Q244" s="24"/>
      <c r="R244" s="24"/>
      <c r="S244" s="24"/>
      <c r="T244" s="24"/>
      <c r="U244" s="24"/>
      <c r="V244" s="24"/>
      <c r="W244" s="24"/>
      <c r="X244" s="24"/>
      <c r="Y244" s="24"/>
      <c r="Z244" s="24"/>
      <c r="AA244" s="24"/>
      <c r="AB244" s="24"/>
    </row>
    <row r="245" spans="14:28" ht="15.75" customHeight="1">
      <c r="N245" s="24"/>
      <c r="O245" s="24"/>
      <c r="P245" s="24"/>
      <c r="Q245" s="24"/>
      <c r="R245" s="24"/>
      <c r="S245" s="24"/>
      <c r="T245" s="24"/>
      <c r="U245" s="24"/>
      <c r="V245" s="24"/>
      <c r="W245" s="24"/>
      <c r="X245" s="24"/>
      <c r="Y245" s="24"/>
      <c r="Z245" s="24"/>
      <c r="AA245" s="24"/>
      <c r="AB245" s="24"/>
    </row>
    <row r="246" spans="14:28" ht="15.75" customHeight="1">
      <c r="N246" s="24"/>
      <c r="O246" s="24"/>
      <c r="P246" s="24"/>
      <c r="Q246" s="24"/>
      <c r="R246" s="24"/>
      <c r="S246" s="24"/>
      <c r="T246" s="24"/>
      <c r="U246" s="24"/>
      <c r="V246" s="24"/>
      <c r="W246" s="24"/>
      <c r="X246" s="24"/>
      <c r="Y246" s="24"/>
      <c r="Z246" s="24"/>
      <c r="AA246" s="24"/>
      <c r="AB246" s="24"/>
    </row>
    <row r="247" spans="14:28" ht="15.75" customHeight="1">
      <c r="N247" s="24"/>
      <c r="O247" s="24"/>
      <c r="P247" s="24"/>
      <c r="Q247" s="24"/>
      <c r="R247" s="24"/>
      <c r="S247" s="24"/>
      <c r="T247" s="24"/>
      <c r="U247" s="24"/>
      <c r="V247" s="24"/>
      <c r="W247" s="24"/>
      <c r="X247" s="24"/>
      <c r="Y247" s="24"/>
      <c r="Z247" s="24"/>
      <c r="AA247" s="24"/>
      <c r="AB247" s="24"/>
    </row>
    <row r="248" spans="14:28" ht="15.75" customHeight="1">
      <c r="N248" s="24"/>
      <c r="O248" s="24"/>
      <c r="P248" s="24"/>
      <c r="Q248" s="24"/>
      <c r="R248" s="24"/>
      <c r="S248" s="24"/>
      <c r="T248" s="24"/>
      <c r="U248" s="24"/>
      <c r="V248" s="24"/>
      <c r="W248" s="24"/>
      <c r="X248" s="24"/>
      <c r="Y248" s="24"/>
      <c r="Z248" s="24"/>
      <c r="AA248" s="24"/>
      <c r="AB248" s="24"/>
    </row>
    <row r="249" spans="14:28" ht="15.75" customHeight="1">
      <c r="N249" s="24"/>
      <c r="O249" s="24"/>
      <c r="P249" s="24"/>
      <c r="Q249" s="24"/>
      <c r="R249" s="24"/>
      <c r="S249" s="24"/>
      <c r="T249" s="24"/>
      <c r="U249" s="24"/>
      <c r="V249" s="24"/>
      <c r="W249" s="24"/>
      <c r="X249" s="24"/>
      <c r="Y249" s="24"/>
      <c r="Z249" s="24"/>
      <c r="AA249" s="24"/>
      <c r="AB249" s="24"/>
    </row>
    <row r="250" spans="14:28" ht="15.75" customHeight="1">
      <c r="N250" s="24"/>
      <c r="O250" s="24"/>
      <c r="P250" s="24"/>
      <c r="Q250" s="24"/>
      <c r="R250" s="24"/>
      <c r="S250" s="24"/>
      <c r="T250" s="24"/>
      <c r="U250" s="24"/>
      <c r="V250" s="24"/>
      <c r="W250" s="24"/>
      <c r="X250" s="24"/>
      <c r="Y250" s="24"/>
      <c r="Z250" s="24"/>
      <c r="AA250" s="24"/>
      <c r="AB250" s="24"/>
    </row>
    <row r="251" spans="14:28" ht="15.75" customHeight="1">
      <c r="N251" s="24"/>
      <c r="O251" s="24"/>
      <c r="P251" s="24"/>
      <c r="Q251" s="24"/>
      <c r="R251" s="24"/>
      <c r="S251" s="24"/>
      <c r="T251" s="24"/>
      <c r="U251" s="24"/>
      <c r="V251" s="24"/>
      <c r="W251" s="24"/>
      <c r="X251" s="24"/>
      <c r="Y251" s="24"/>
      <c r="Z251" s="24"/>
      <c r="AA251" s="24"/>
      <c r="AB251" s="24"/>
    </row>
    <row r="252" spans="14:28" ht="15.75" customHeight="1">
      <c r="N252" s="24"/>
      <c r="O252" s="24"/>
      <c r="P252" s="24"/>
      <c r="Q252" s="24"/>
      <c r="R252" s="24"/>
      <c r="S252" s="24"/>
      <c r="T252" s="24"/>
      <c r="U252" s="24"/>
      <c r="V252" s="24"/>
      <c r="W252" s="24"/>
      <c r="X252" s="24"/>
      <c r="Y252" s="24"/>
      <c r="Z252" s="24"/>
      <c r="AA252" s="24"/>
      <c r="AB252" s="24"/>
    </row>
    <row r="253" spans="14:28" ht="15.75" customHeight="1">
      <c r="N253" s="24"/>
      <c r="O253" s="24"/>
      <c r="P253" s="24"/>
      <c r="Q253" s="24"/>
      <c r="R253" s="24"/>
      <c r="S253" s="24"/>
      <c r="T253" s="24"/>
      <c r="U253" s="24"/>
      <c r="V253" s="24"/>
      <c r="W253" s="24"/>
      <c r="X253" s="24"/>
      <c r="Y253" s="24"/>
      <c r="Z253" s="24"/>
      <c r="AA253" s="24"/>
      <c r="AB253" s="24"/>
    </row>
    <row r="254" spans="14:28" ht="15.75" customHeight="1">
      <c r="N254" s="24"/>
      <c r="O254" s="24"/>
      <c r="P254" s="24"/>
      <c r="Q254" s="24"/>
      <c r="R254" s="24"/>
      <c r="S254" s="24"/>
      <c r="T254" s="24"/>
      <c r="U254" s="24"/>
      <c r="V254" s="24"/>
      <c r="W254" s="24"/>
      <c r="X254" s="24"/>
      <c r="Y254" s="24"/>
      <c r="Z254" s="24"/>
      <c r="AA254" s="24"/>
      <c r="AB254" s="24"/>
    </row>
    <row r="255" spans="14:28" ht="15.75" customHeight="1">
      <c r="N255" s="24"/>
      <c r="O255" s="24"/>
      <c r="P255" s="24"/>
      <c r="Q255" s="24"/>
      <c r="R255" s="24"/>
      <c r="S255" s="24"/>
      <c r="T255" s="24"/>
      <c r="U255" s="24"/>
      <c r="V255" s="24"/>
      <c r="W255" s="24"/>
      <c r="X255" s="24"/>
      <c r="Y255" s="24"/>
      <c r="Z255" s="24"/>
      <c r="AA255" s="24"/>
      <c r="AB255" s="24"/>
    </row>
    <row r="256" spans="14:28" ht="15.75" customHeight="1">
      <c r="N256" s="24"/>
      <c r="O256" s="24"/>
      <c r="P256" s="24"/>
      <c r="Q256" s="24"/>
      <c r="R256" s="24"/>
      <c r="S256" s="24"/>
      <c r="T256" s="24"/>
      <c r="U256" s="24"/>
      <c r="V256" s="24"/>
      <c r="W256" s="24"/>
      <c r="X256" s="24"/>
      <c r="Y256" s="24"/>
      <c r="Z256" s="24"/>
      <c r="AA256" s="24"/>
      <c r="AB256" s="24"/>
    </row>
    <row r="257" spans="14:28" ht="15.75" customHeight="1">
      <c r="N257" s="24"/>
      <c r="O257" s="24"/>
      <c r="P257" s="24"/>
      <c r="Q257" s="24"/>
      <c r="R257" s="24"/>
      <c r="S257" s="24"/>
      <c r="T257" s="24"/>
      <c r="U257" s="24"/>
      <c r="V257" s="24"/>
      <c r="W257" s="24"/>
      <c r="X257" s="24"/>
      <c r="Y257" s="24"/>
      <c r="Z257" s="24"/>
      <c r="AA257" s="24"/>
      <c r="AB257" s="24"/>
    </row>
    <row r="258" spans="14:28" ht="15.75" customHeight="1">
      <c r="N258" s="24"/>
      <c r="O258" s="24"/>
      <c r="P258" s="24"/>
      <c r="Q258" s="24"/>
      <c r="R258" s="24"/>
      <c r="S258" s="24"/>
      <c r="T258" s="24"/>
      <c r="U258" s="24"/>
      <c r="V258" s="24"/>
      <c r="W258" s="24"/>
      <c r="X258" s="24"/>
      <c r="Y258" s="24"/>
      <c r="Z258" s="24"/>
      <c r="AA258" s="24"/>
      <c r="AB258" s="24"/>
    </row>
    <row r="259" spans="14:28" ht="15.75" customHeight="1">
      <c r="N259" s="24"/>
      <c r="O259" s="24"/>
      <c r="P259" s="24"/>
      <c r="Q259" s="24"/>
      <c r="R259" s="24"/>
      <c r="S259" s="24"/>
      <c r="T259" s="24"/>
      <c r="U259" s="24"/>
      <c r="V259" s="24"/>
      <c r="W259" s="24"/>
      <c r="X259" s="24"/>
      <c r="Y259" s="24"/>
      <c r="Z259" s="24"/>
      <c r="AA259" s="24"/>
      <c r="AB259" s="24"/>
    </row>
    <row r="260" spans="14:28" ht="15.75" customHeight="1">
      <c r="N260" s="24"/>
      <c r="O260" s="24"/>
      <c r="P260" s="24"/>
      <c r="Q260" s="24"/>
      <c r="R260" s="24"/>
      <c r="S260" s="24"/>
      <c r="T260" s="24"/>
      <c r="U260" s="24"/>
      <c r="V260" s="24"/>
      <c r="W260" s="24"/>
      <c r="X260" s="24"/>
      <c r="Y260" s="24"/>
      <c r="Z260" s="24"/>
      <c r="AA260" s="24"/>
      <c r="AB260" s="24"/>
    </row>
    <row r="261" spans="14:28" ht="15.75" customHeight="1">
      <c r="N261" s="24"/>
      <c r="O261" s="24"/>
      <c r="P261" s="24"/>
      <c r="Q261" s="24"/>
      <c r="R261" s="24"/>
      <c r="S261" s="24"/>
      <c r="T261" s="24"/>
      <c r="U261" s="24"/>
      <c r="V261" s="24"/>
      <c r="W261" s="24"/>
      <c r="X261" s="24"/>
      <c r="Y261" s="24"/>
      <c r="Z261" s="24"/>
      <c r="AA261" s="24"/>
      <c r="AB261" s="24"/>
    </row>
    <row r="262" spans="14:28" ht="15.75" customHeight="1">
      <c r="N262" s="24"/>
      <c r="O262" s="24"/>
      <c r="P262" s="24"/>
      <c r="Q262" s="24"/>
      <c r="R262" s="24"/>
      <c r="S262" s="24"/>
      <c r="T262" s="24"/>
      <c r="U262" s="24"/>
      <c r="V262" s="24"/>
      <c r="W262" s="24"/>
      <c r="X262" s="24"/>
      <c r="Y262" s="24"/>
      <c r="Z262" s="24"/>
      <c r="AA262" s="24"/>
      <c r="AB262" s="24"/>
    </row>
    <row r="263" spans="14:28" ht="15.75" customHeight="1">
      <c r="N263" s="24"/>
      <c r="O263" s="24"/>
      <c r="P263" s="24"/>
      <c r="Q263" s="24"/>
      <c r="R263" s="24"/>
      <c r="S263" s="24"/>
      <c r="T263" s="24"/>
      <c r="U263" s="24"/>
      <c r="V263" s="24"/>
      <c r="W263" s="24"/>
      <c r="X263" s="24"/>
      <c r="Y263" s="24"/>
      <c r="Z263" s="24"/>
      <c r="AA263" s="24"/>
      <c r="AB263" s="24"/>
    </row>
    <row r="264" spans="14:28" ht="15.75" customHeight="1">
      <c r="N264" s="24"/>
      <c r="O264" s="24"/>
      <c r="P264" s="24"/>
      <c r="Q264" s="24"/>
      <c r="R264" s="24"/>
      <c r="S264" s="24"/>
      <c r="T264" s="24"/>
      <c r="U264" s="24"/>
      <c r="V264" s="24"/>
      <c r="W264" s="24"/>
      <c r="X264" s="24"/>
      <c r="Y264" s="24"/>
      <c r="Z264" s="24"/>
      <c r="AA264" s="24"/>
      <c r="AB264" s="24"/>
    </row>
    <row r="265" spans="14:28" ht="15.75" customHeight="1">
      <c r="N265" s="24"/>
      <c r="O265" s="24"/>
      <c r="P265" s="24"/>
      <c r="Q265" s="24"/>
      <c r="R265" s="24"/>
      <c r="S265" s="24"/>
      <c r="T265" s="24"/>
      <c r="U265" s="24"/>
      <c r="V265" s="24"/>
      <c r="W265" s="24"/>
      <c r="X265" s="24"/>
      <c r="Y265" s="24"/>
      <c r="Z265" s="24"/>
      <c r="AA265" s="24"/>
      <c r="AB265" s="24"/>
    </row>
    <row r="266" spans="14:28" ht="15.75" customHeight="1">
      <c r="N266" s="24"/>
      <c r="O266" s="24"/>
      <c r="P266" s="24"/>
      <c r="Q266" s="24"/>
      <c r="R266" s="24"/>
      <c r="S266" s="24"/>
      <c r="T266" s="24"/>
      <c r="U266" s="24"/>
      <c r="V266" s="24"/>
      <c r="W266" s="24"/>
      <c r="X266" s="24"/>
      <c r="Y266" s="24"/>
      <c r="Z266" s="24"/>
      <c r="AA266" s="24"/>
      <c r="AB266" s="24"/>
    </row>
    <row r="267" spans="14:28" ht="15.75" customHeight="1">
      <c r="N267" s="24"/>
      <c r="O267" s="24"/>
      <c r="P267" s="24"/>
      <c r="Q267" s="24"/>
      <c r="R267" s="24"/>
      <c r="S267" s="24"/>
      <c r="T267" s="24"/>
      <c r="U267" s="24"/>
      <c r="V267" s="24"/>
      <c r="W267" s="24"/>
      <c r="X267" s="24"/>
      <c r="Y267" s="24"/>
      <c r="Z267" s="24"/>
      <c r="AA267" s="24"/>
      <c r="AB267" s="24"/>
    </row>
    <row r="268" spans="14:28" ht="15.75" customHeight="1">
      <c r="N268" s="24"/>
      <c r="O268" s="24"/>
      <c r="P268" s="24"/>
      <c r="Q268" s="24"/>
      <c r="R268" s="24"/>
      <c r="S268" s="24"/>
      <c r="T268" s="24"/>
      <c r="U268" s="24"/>
      <c r="V268" s="24"/>
      <c r="W268" s="24"/>
      <c r="X268" s="24"/>
      <c r="Y268" s="24"/>
      <c r="Z268" s="24"/>
      <c r="AA268" s="24"/>
      <c r="AB268" s="24"/>
    </row>
    <row r="269" spans="14:28" ht="15.75" customHeight="1">
      <c r="N269" s="24"/>
      <c r="O269" s="24"/>
      <c r="P269" s="24"/>
      <c r="Q269" s="24"/>
      <c r="R269" s="24"/>
      <c r="S269" s="24"/>
      <c r="T269" s="24"/>
      <c r="U269" s="24"/>
      <c r="V269" s="24"/>
      <c r="W269" s="24"/>
      <c r="X269" s="24"/>
      <c r="Y269" s="24"/>
      <c r="Z269" s="24"/>
      <c r="AA269" s="24"/>
      <c r="AB269" s="24"/>
    </row>
    <row r="270" spans="14:28" ht="15.75" customHeight="1">
      <c r="N270" s="24"/>
      <c r="O270" s="24"/>
      <c r="P270" s="24"/>
      <c r="Q270" s="24"/>
      <c r="R270" s="24"/>
      <c r="S270" s="24"/>
      <c r="T270" s="24"/>
      <c r="U270" s="24"/>
      <c r="V270" s="24"/>
      <c r="W270" s="24"/>
      <c r="X270" s="24"/>
      <c r="Y270" s="24"/>
      <c r="Z270" s="24"/>
      <c r="AA270" s="24"/>
      <c r="AB270" s="24"/>
    </row>
    <row r="271" spans="14:28" ht="15.75" customHeight="1">
      <c r="N271" s="24"/>
      <c r="O271" s="24"/>
      <c r="P271" s="24"/>
      <c r="Q271" s="24"/>
      <c r="R271" s="24"/>
      <c r="S271" s="24"/>
      <c r="T271" s="24"/>
      <c r="U271" s="24"/>
      <c r="V271" s="24"/>
      <c r="W271" s="24"/>
      <c r="X271" s="24"/>
      <c r="Y271" s="24"/>
      <c r="Z271" s="24"/>
      <c r="AA271" s="24"/>
      <c r="AB271" s="24"/>
    </row>
    <row r="272" spans="14:28" ht="15.75" customHeight="1">
      <c r="N272" s="24"/>
      <c r="O272" s="24"/>
      <c r="P272" s="24"/>
      <c r="Q272" s="24"/>
      <c r="R272" s="24"/>
      <c r="S272" s="24"/>
      <c r="T272" s="24"/>
      <c r="U272" s="24"/>
      <c r="V272" s="24"/>
      <c r="W272" s="24"/>
      <c r="X272" s="24"/>
      <c r="Y272" s="24"/>
      <c r="Z272" s="24"/>
      <c r="AA272" s="24"/>
      <c r="AB272" s="24"/>
    </row>
    <row r="273" spans="14:28" ht="15.75" customHeight="1">
      <c r="N273" s="24"/>
      <c r="O273" s="24"/>
      <c r="P273" s="24"/>
      <c r="Q273" s="24"/>
      <c r="R273" s="24"/>
      <c r="S273" s="24"/>
      <c r="T273" s="24"/>
      <c r="U273" s="24"/>
      <c r="V273" s="24"/>
      <c r="W273" s="24"/>
      <c r="X273" s="24"/>
      <c r="Y273" s="24"/>
      <c r="Z273" s="24"/>
      <c r="AA273" s="24"/>
      <c r="AB273" s="24"/>
    </row>
    <row r="274" spans="14:28" ht="15.75" customHeight="1">
      <c r="N274" s="24"/>
      <c r="O274" s="24"/>
      <c r="P274" s="24"/>
      <c r="Q274" s="24"/>
      <c r="R274" s="24"/>
      <c r="S274" s="24"/>
      <c r="T274" s="24"/>
      <c r="U274" s="24"/>
      <c r="V274" s="24"/>
      <c r="W274" s="24"/>
      <c r="X274" s="24"/>
      <c r="Y274" s="24"/>
      <c r="Z274" s="24"/>
      <c r="AA274" s="24"/>
      <c r="AB274" s="24"/>
    </row>
    <row r="275" spans="14:28" ht="15.75" customHeight="1">
      <c r="N275" s="24"/>
      <c r="O275" s="24"/>
      <c r="P275" s="24"/>
      <c r="Q275" s="24"/>
      <c r="R275" s="24"/>
      <c r="S275" s="24"/>
      <c r="T275" s="24"/>
      <c r="U275" s="24"/>
      <c r="V275" s="24"/>
      <c r="W275" s="24"/>
      <c r="X275" s="24"/>
      <c r="Y275" s="24"/>
      <c r="Z275" s="24"/>
      <c r="AA275" s="24"/>
      <c r="AB275" s="24"/>
    </row>
    <row r="276" spans="14:28" ht="15.75" customHeight="1">
      <c r="N276" s="24"/>
      <c r="O276" s="24"/>
      <c r="P276" s="24"/>
      <c r="Q276" s="24"/>
      <c r="R276" s="24"/>
      <c r="S276" s="24"/>
      <c r="T276" s="24"/>
      <c r="U276" s="24"/>
      <c r="V276" s="24"/>
      <c r="W276" s="24"/>
      <c r="X276" s="24"/>
      <c r="Y276" s="24"/>
      <c r="Z276" s="24"/>
      <c r="AA276" s="24"/>
      <c r="AB276" s="24"/>
    </row>
    <row r="277" spans="14:28" ht="15.75" customHeight="1">
      <c r="N277" s="24"/>
      <c r="O277" s="24"/>
      <c r="P277" s="24"/>
      <c r="Q277" s="24"/>
      <c r="R277" s="24"/>
      <c r="S277" s="24"/>
      <c r="T277" s="24"/>
      <c r="U277" s="24"/>
      <c r="V277" s="24"/>
      <c r="W277" s="24"/>
      <c r="X277" s="24"/>
      <c r="Y277" s="24"/>
      <c r="Z277" s="24"/>
      <c r="AA277" s="24"/>
      <c r="AB277" s="24"/>
    </row>
    <row r="278" spans="14:28" ht="15.75" customHeight="1">
      <c r="N278" s="24"/>
      <c r="O278" s="24"/>
      <c r="P278" s="24"/>
      <c r="Q278" s="24"/>
      <c r="R278" s="24"/>
      <c r="S278" s="24"/>
      <c r="T278" s="24"/>
      <c r="U278" s="24"/>
      <c r="V278" s="24"/>
      <c r="W278" s="24"/>
      <c r="X278" s="24"/>
      <c r="Y278" s="24"/>
      <c r="Z278" s="24"/>
      <c r="AA278" s="24"/>
      <c r="AB278" s="24"/>
    </row>
    <row r="279" spans="14:28" ht="15.75" customHeight="1">
      <c r="N279" s="24"/>
      <c r="O279" s="24"/>
      <c r="P279" s="24"/>
      <c r="Q279" s="24"/>
      <c r="R279" s="24"/>
      <c r="S279" s="24"/>
      <c r="T279" s="24"/>
      <c r="U279" s="24"/>
      <c r="V279" s="24"/>
      <c r="W279" s="24"/>
      <c r="X279" s="24"/>
      <c r="Y279" s="24"/>
      <c r="Z279" s="24"/>
      <c r="AA279" s="24"/>
      <c r="AB279" s="24"/>
    </row>
    <row r="280" spans="14:28" ht="15.75" customHeight="1">
      <c r="N280" s="24"/>
      <c r="O280" s="24"/>
      <c r="P280" s="24"/>
      <c r="Q280" s="24"/>
      <c r="R280" s="24"/>
      <c r="S280" s="24"/>
      <c r="T280" s="24"/>
      <c r="U280" s="24"/>
      <c r="V280" s="24"/>
      <c r="W280" s="24"/>
      <c r="X280" s="24"/>
      <c r="Y280" s="24"/>
      <c r="Z280" s="24"/>
      <c r="AA280" s="24"/>
      <c r="AB280" s="24"/>
    </row>
    <row r="281" spans="14:28" ht="15.75" customHeight="1">
      <c r="N281" s="24"/>
      <c r="O281" s="24"/>
      <c r="P281" s="24"/>
      <c r="Q281" s="24"/>
      <c r="R281" s="24"/>
      <c r="S281" s="24"/>
      <c r="T281" s="24"/>
      <c r="U281" s="24"/>
      <c r="V281" s="24"/>
      <c r="W281" s="24"/>
      <c r="X281" s="24"/>
      <c r="Y281" s="24"/>
      <c r="Z281" s="24"/>
      <c r="AA281" s="24"/>
      <c r="AB281" s="24"/>
    </row>
    <row r="282" spans="14:28" ht="15.75" customHeight="1">
      <c r="N282" s="24"/>
      <c r="O282" s="24"/>
      <c r="P282" s="24"/>
      <c r="Q282" s="24"/>
      <c r="R282" s="24"/>
      <c r="S282" s="24"/>
      <c r="T282" s="24"/>
      <c r="U282" s="24"/>
      <c r="V282" s="24"/>
      <c r="W282" s="24"/>
      <c r="X282" s="24"/>
      <c r="Y282" s="24"/>
      <c r="Z282" s="24"/>
      <c r="AA282" s="24"/>
      <c r="AB282" s="24"/>
    </row>
    <row r="283" spans="14:28" ht="15.75" customHeight="1">
      <c r="N283" s="24"/>
      <c r="O283" s="24"/>
      <c r="P283" s="24"/>
      <c r="Q283" s="24"/>
      <c r="R283" s="24"/>
      <c r="S283" s="24"/>
      <c r="T283" s="24"/>
      <c r="U283" s="24"/>
      <c r="V283" s="24"/>
      <c r="W283" s="24"/>
      <c r="X283" s="24"/>
      <c r="Y283" s="24"/>
      <c r="Z283" s="24"/>
      <c r="AA283" s="24"/>
      <c r="AB283" s="24"/>
    </row>
    <row r="284" spans="14:28" ht="15.75" customHeight="1">
      <c r="N284" s="24"/>
      <c r="O284" s="24"/>
      <c r="P284" s="24"/>
      <c r="Q284" s="24"/>
      <c r="R284" s="24"/>
      <c r="S284" s="24"/>
      <c r="T284" s="24"/>
      <c r="U284" s="24"/>
      <c r="V284" s="24"/>
      <c r="W284" s="24"/>
      <c r="X284" s="24"/>
      <c r="Y284" s="24"/>
      <c r="Z284" s="24"/>
      <c r="AA284" s="24"/>
      <c r="AB284" s="24"/>
    </row>
    <row r="285" spans="14:28" ht="15.75" customHeight="1">
      <c r="N285" s="24"/>
      <c r="O285" s="24"/>
      <c r="P285" s="24"/>
      <c r="Q285" s="24"/>
      <c r="R285" s="24"/>
      <c r="S285" s="24"/>
      <c r="T285" s="24"/>
      <c r="U285" s="24"/>
      <c r="V285" s="24"/>
      <c r="W285" s="24"/>
      <c r="X285" s="24"/>
      <c r="Y285" s="24"/>
      <c r="Z285" s="24"/>
      <c r="AA285" s="24"/>
      <c r="AB285" s="24"/>
    </row>
    <row r="286" spans="14:28" ht="15.75" customHeight="1">
      <c r="N286" s="24"/>
      <c r="O286" s="24"/>
      <c r="P286" s="24"/>
      <c r="Q286" s="24"/>
      <c r="R286" s="24"/>
      <c r="S286" s="24"/>
      <c r="T286" s="24"/>
      <c r="U286" s="24"/>
      <c r="V286" s="24"/>
      <c r="W286" s="24"/>
      <c r="X286" s="24"/>
      <c r="Y286" s="24"/>
      <c r="Z286" s="24"/>
      <c r="AA286" s="24"/>
      <c r="AB286" s="24"/>
    </row>
    <row r="287" spans="14:28" ht="15.75" customHeight="1">
      <c r="N287" s="24"/>
      <c r="O287" s="24"/>
      <c r="P287" s="24"/>
      <c r="Q287" s="24"/>
      <c r="R287" s="24"/>
      <c r="S287" s="24"/>
      <c r="T287" s="24"/>
      <c r="U287" s="24"/>
      <c r="V287" s="24"/>
      <c r="W287" s="24"/>
      <c r="X287" s="24"/>
      <c r="Y287" s="24"/>
      <c r="Z287" s="24"/>
      <c r="AA287" s="24"/>
      <c r="AB287" s="24"/>
    </row>
    <row r="288" spans="14:28" ht="15.75" customHeight="1">
      <c r="N288" s="24"/>
      <c r="O288" s="24"/>
      <c r="P288" s="24"/>
      <c r="Q288" s="24"/>
      <c r="R288" s="24"/>
      <c r="S288" s="24"/>
      <c r="T288" s="24"/>
      <c r="U288" s="24"/>
      <c r="V288" s="24"/>
      <c r="W288" s="24"/>
      <c r="X288" s="24"/>
      <c r="Y288" s="24"/>
      <c r="Z288" s="24"/>
      <c r="AA288" s="24"/>
      <c r="AB288" s="24"/>
    </row>
    <row r="289" spans="14:28" ht="15.75" customHeight="1">
      <c r="N289" s="24"/>
      <c r="O289" s="24"/>
      <c r="P289" s="24"/>
      <c r="Q289" s="24"/>
      <c r="R289" s="24"/>
      <c r="S289" s="24"/>
      <c r="T289" s="24"/>
      <c r="U289" s="24"/>
      <c r="V289" s="24"/>
      <c r="W289" s="24"/>
      <c r="X289" s="24"/>
      <c r="Y289" s="24"/>
      <c r="Z289" s="24"/>
      <c r="AA289" s="24"/>
      <c r="AB289" s="24"/>
    </row>
    <row r="290" spans="14:28" ht="15.75" customHeight="1">
      <c r="N290" s="24"/>
      <c r="O290" s="24"/>
      <c r="P290" s="24"/>
      <c r="Q290" s="24"/>
      <c r="R290" s="24"/>
      <c r="S290" s="24"/>
      <c r="T290" s="24"/>
      <c r="U290" s="24"/>
      <c r="V290" s="24"/>
      <c r="W290" s="24"/>
      <c r="X290" s="24"/>
      <c r="Y290" s="24"/>
      <c r="Z290" s="24"/>
      <c r="AA290" s="24"/>
      <c r="AB290" s="24"/>
    </row>
    <row r="291" spans="14:28" ht="15.75" customHeight="1">
      <c r="N291" s="24"/>
      <c r="O291" s="24"/>
      <c r="P291" s="24"/>
      <c r="Q291" s="24"/>
      <c r="R291" s="24"/>
      <c r="S291" s="24"/>
      <c r="T291" s="24"/>
      <c r="U291" s="24"/>
      <c r="V291" s="24"/>
      <c r="W291" s="24"/>
      <c r="X291" s="24"/>
      <c r="Y291" s="24"/>
      <c r="Z291" s="24"/>
      <c r="AA291" s="24"/>
      <c r="AB291" s="24"/>
    </row>
    <row r="292" spans="14:28" ht="15.75" customHeight="1">
      <c r="N292" s="24"/>
      <c r="O292" s="24"/>
      <c r="P292" s="24"/>
      <c r="Q292" s="24"/>
      <c r="R292" s="24"/>
      <c r="S292" s="24"/>
      <c r="T292" s="24"/>
      <c r="U292" s="24"/>
      <c r="V292" s="24"/>
      <c r="W292" s="24"/>
      <c r="X292" s="24"/>
      <c r="Y292" s="24"/>
      <c r="Z292" s="24"/>
      <c r="AA292" s="24"/>
      <c r="AB292" s="24"/>
    </row>
    <row r="293" spans="14:28" ht="15.75" customHeight="1">
      <c r="N293" s="24"/>
      <c r="O293" s="24"/>
      <c r="P293" s="24"/>
      <c r="Q293" s="24"/>
      <c r="R293" s="24"/>
      <c r="S293" s="24"/>
      <c r="T293" s="24"/>
      <c r="U293" s="24"/>
      <c r="V293" s="24"/>
      <c r="W293" s="24"/>
      <c r="X293" s="24"/>
      <c r="Y293" s="24"/>
      <c r="Z293" s="24"/>
      <c r="AA293" s="24"/>
      <c r="AB293" s="24"/>
    </row>
    <row r="294" spans="14:28" ht="15.75" customHeight="1">
      <c r="N294" s="24"/>
      <c r="O294" s="24"/>
      <c r="P294" s="24"/>
      <c r="Q294" s="24"/>
      <c r="R294" s="24"/>
      <c r="S294" s="24"/>
      <c r="T294" s="24"/>
      <c r="U294" s="24"/>
      <c r="V294" s="24"/>
      <c r="W294" s="24"/>
      <c r="X294" s="24"/>
      <c r="Y294" s="24"/>
      <c r="Z294" s="24"/>
      <c r="AA294" s="24"/>
      <c r="AB294" s="24"/>
    </row>
    <row r="295" spans="14:28" ht="15.75" customHeight="1">
      <c r="N295" s="24"/>
      <c r="O295" s="24"/>
      <c r="P295" s="24"/>
      <c r="Q295" s="24"/>
      <c r="R295" s="24"/>
      <c r="S295" s="24"/>
      <c r="T295" s="24"/>
      <c r="U295" s="24"/>
      <c r="V295" s="24"/>
      <c r="W295" s="24"/>
      <c r="X295" s="24"/>
      <c r="Y295" s="24"/>
      <c r="Z295" s="24"/>
      <c r="AA295" s="24"/>
      <c r="AB295" s="24"/>
    </row>
    <row r="296" spans="14:28" ht="15.75" customHeight="1">
      <c r="N296" s="24"/>
      <c r="O296" s="24"/>
      <c r="P296" s="24"/>
      <c r="Q296" s="24"/>
      <c r="R296" s="24"/>
      <c r="S296" s="24"/>
      <c r="T296" s="24"/>
      <c r="U296" s="24"/>
      <c r="V296" s="24"/>
      <c r="W296" s="24"/>
      <c r="X296" s="24"/>
      <c r="Y296" s="24"/>
      <c r="Z296" s="24"/>
      <c r="AA296" s="24"/>
      <c r="AB296" s="24"/>
    </row>
    <row r="297" spans="14:28" ht="15.75" customHeight="1">
      <c r="N297" s="24"/>
      <c r="O297" s="24"/>
      <c r="P297" s="24"/>
      <c r="Q297" s="24"/>
      <c r="R297" s="24"/>
      <c r="S297" s="24"/>
      <c r="T297" s="24"/>
      <c r="U297" s="24"/>
      <c r="V297" s="24"/>
      <c r="W297" s="24"/>
      <c r="X297" s="24"/>
      <c r="Y297" s="24"/>
      <c r="Z297" s="24"/>
      <c r="AA297" s="24"/>
      <c r="AB297" s="24"/>
    </row>
    <row r="298" spans="14:28" ht="15.75" customHeight="1">
      <c r="N298" s="24"/>
      <c r="O298" s="24"/>
      <c r="P298" s="24"/>
      <c r="Q298" s="24"/>
      <c r="R298" s="24"/>
      <c r="S298" s="24"/>
      <c r="T298" s="24"/>
      <c r="U298" s="24"/>
      <c r="V298" s="24"/>
      <c r="W298" s="24"/>
      <c r="X298" s="24"/>
      <c r="Y298" s="24"/>
      <c r="Z298" s="24"/>
      <c r="AA298" s="24"/>
      <c r="AB298" s="24"/>
    </row>
    <row r="299" spans="14:28" ht="15.75" customHeight="1">
      <c r="N299" s="24"/>
      <c r="O299" s="24"/>
      <c r="P299" s="24"/>
      <c r="Q299" s="24"/>
      <c r="R299" s="24"/>
      <c r="S299" s="24"/>
      <c r="T299" s="24"/>
      <c r="U299" s="24"/>
      <c r="V299" s="24"/>
      <c r="W299" s="24"/>
      <c r="X299" s="24"/>
      <c r="Y299" s="24"/>
      <c r="Z299" s="24"/>
      <c r="AA299" s="24"/>
      <c r="AB299" s="24"/>
    </row>
    <row r="300" spans="14:28" ht="15.75" customHeight="1">
      <c r="N300" s="24"/>
      <c r="O300" s="24"/>
      <c r="P300" s="24"/>
      <c r="Q300" s="24"/>
      <c r="R300" s="24"/>
      <c r="S300" s="24"/>
      <c r="T300" s="24"/>
      <c r="U300" s="24"/>
      <c r="V300" s="24"/>
      <c r="W300" s="24"/>
      <c r="X300" s="24"/>
      <c r="Y300" s="24"/>
      <c r="Z300" s="24"/>
      <c r="AA300" s="24"/>
      <c r="AB300" s="24"/>
    </row>
    <row r="301" spans="14:28" ht="15.75" customHeight="1">
      <c r="N301" s="24"/>
      <c r="O301" s="24"/>
      <c r="P301" s="24"/>
      <c r="Q301" s="24"/>
      <c r="R301" s="24"/>
      <c r="S301" s="24"/>
      <c r="T301" s="24"/>
      <c r="U301" s="24"/>
      <c r="V301" s="24"/>
      <c r="W301" s="24"/>
      <c r="X301" s="24"/>
      <c r="Y301" s="24"/>
      <c r="Z301" s="24"/>
      <c r="AA301" s="24"/>
      <c r="AB301" s="24"/>
    </row>
    <row r="302" spans="14:28" ht="15.75" customHeight="1">
      <c r="N302" s="24"/>
      <c r="O302" s="24"/>
      <c r="P302" s="24"/>
      <c r="Q302" s="24"/>
      <c r="R302" s="24"/>
      <c r="S302" s="24"/>
      <c r="T302" s="24"/>
      <c r="U302" s="24"/>
      <c r="V302" s="24"/>
      <c r="W302" s="24"/>
      <c r="X302" s="24"/>
      <c r="Y302" s="24"/>
      <c r="Z302" s="24"/>
      <c r="AA302" s="24"/>
      <c r="AB302" s="24"/>
    </row>
    <row r="303" spans="14:28" ht="15.75" customHeight="1">
      <c r="N303" s="24"/>
      <c r="O303" s="24"/>
      <c r="P303" s="24"/>
      <c r="Q303" s="24"/>
      <c r="R303" s="24"/>
      <c r="S303" s="24"/>
      <c r="T303" s="24"/>
      <c r="U303" s="24"/>
      <c r="V303" s="24"/>
      <c r="W303" s="24"/>
      <c r="X303" s="24"/>
      <c r="Y303" s="24"/>
      <c r="Z303" s="24"/>
      <c r="AA303" s="24"/>
      <c r="AB303" s="24"/>
    </row>
    <row r="304" spans="14:28" ht="15.75" customHeight="1">
      <c r="N304" s="24"/>
      <c r="O304" s="24"/>
      <c r="P304" s="24"/>
      <c r="Q304" s="24"/>
      <c r="R304" s="24"/>
      <c r="S304" s="24"/>
      <c r="T304" s="24"/>
      <c r="U304" s="24"/>
      <c r="V304" s="24"/>
      <c r="W304" s="24"/>
      <c r="X304" s="24"/>
      <c r="Y304" s="24"/>
      <c r="Z304" s="24"/>
      <c r="AA304" s="24"/>
      <c r="AB304" s="24"/>
    </row>
    <row r="305" spans="14:28" ht="15.75" customHeight="1">
      <c r="N305" s="24"/>
      <c r="O305" s="24"/>
      <c r="P305" s="24"/>
      <c r="Q305" s="24"/>
      <c r="R305" s="24"/>
      <c r="S305" s="24"/>
      <c r="T305" s="24"/>
      <c r="U305" s="24"/>
      <c r="V305" s="24"/>
      <c r="W305" s="24"/>
      <c r="X305" s="24"/>
      <c r="Y305" s="24"/>
      <c r="Z305" s="24"/>
      <c r="AA305" s="24"/>
      <c r="AB305" s="24"/>
    </row>
    <row r="306" spans="14:28" ht="15.75" customHeight="1">
      <c r="N306" s="24"/>
      <c r="O306" s="24"/>
      <c r="P306" s="24"/>
      <c r="Q306" s="24"/>
      <c r="R306" s="24"/>
      <c r="S306" s="24"/>
      <c r="T306" s="24"/>
      <c r="U306" s="24"/>
      <c r="V306" s="24"/>
      <c r="W306" s="24"/>
      <c r="X306" s="24"/>
      <c r="Y306" s="24"/>
      <c r="Z306" s="24"/>
      <c r="AA306" s="24"/>
      <c r="AB306" s="24"/>
    </row>
    <row r="307" spans="14:28" ht="15.75" customHeight="1">
      <c r="N307" s="24"/>
      <c r="O307" s="24"/>
      <c r="P307" s="24"/>
      <c r="Q307" s="24"/>
      <c r="R307" s="24"/>
      <c r="S307" s="24"/>
      <c r="T307" s="24"/>
      <c r="U307" s="24"/>
      <c r="V307" s="24"/>
      <c r="W307" s="24"/>
      <c r="X307" s="24"/>
      <c r="Y307" s="24"/>
      <c r="Z307" s="24"/>
      <c r="AA307" s="24"/>
      <c r="AB307" s="24"/>
    </row>
    <row r="308" spans="14:28" ht="15.75" customHeight="1">
      <c r="N308" s="24"/>
      <c r="O308" s="24"/>
      <c r="P308" s="24"/>
      <c r="Q308" s="24"/>
      <c r="R308" s="24"/>
      <c r="S308" s="24"/>
      <c r="T308" s="24"/>
      <c r="U308" s="24"/>
      <c r="V308" s="24"/>
      <c r="W308" s="24"/>
      <c r="X308" s="24"/>
      <c r="Y308" s="24"/>
      <c r="Z308" s="24"/>
      <c r="AA308" s="24"/>
      <c r="AB308" s="24"/>
    </row>
    <row r="309" spans="14:28" ht="15.75" customHeight="1">
      <c r="N309" s="24"/>
      <c r="O309" s="24"/>
      <c r="P309" s="24"/>
      <c r="Q309" s="24"/>
      <c r="R309" s="24"/>
      <c r="S309" s="24"/>
      <c r="T309" s="24"/>
      <c r="U309" s="24"/>
      <c r="V309" s="24"/>
      <c r="W309" s="24"/>
      <c r="X309" s="24"/>
      <c r="Y309" s="24"/>
      <c r="Z309" s="24"/>
      <c r="AA309" s="24"/>
      <c r="AB309" s="24"/>
    </row>
    <row r="310" spans="14:28" ht="15.75" customHeight="1">
      <c r="N310" s="24"/>
      <c r="O310" s="24"/>
      <c r="P310" s="24"/>
      <c r="Q310" s="24"/>
      <c r="R310" s="24"/>
      <c r="S310" s="24"/>
      <c r="T310" s="24"/>
      <c r="U310" s="24"/>
      <c r="V310" s="24"/>
      <c r="W310" s="24"/>
      <c r="X310" s="24"/>
      <c r="Y310" s="24"/>
      <c r="Z310" s="24"/>
      <c r="AA310" s="24"/>
      <c r="AB310" s="24"/>
    </row>
    <row r="311" spans="14:28" ht="15.75" customHeight="1">
      <c r="N311" s="24"/>
      <c r="O311" s="24"/>
      <c r="P311" s="24"/>
      <c r="Q311" s="24"/>
      <c r="R311" s="24"/>
      <c r="S311" s="24"/>
      <c r="T311" s="24"/>
      <c r="U311" s="24"/>
      <c r="V311" s="24"/>
      <c r="W311" s="24"/>
      <c r="X311" s="24"/>
      <c r="Y311" s="24"/>
      <c r="Z311" s="24"/>
      <c r="AA311" s="24"/>
      <c r="AB311" s="24"/>
    </row>
    <row r="312" spans="14:28" ht="15.75" customHeight="1">
      <c r="N312" s="24"/>
      <c r="O312" s="24"/>
      <c r="P312" s="24"/>
      <c r="Q312" s="24"/>
      <c r="R312" s="24"/>
      <c r="S312" s="24"/>
      <c r="T312" s="24"/>
      <c r="U312" s="24"/>
      <c r="V312" s="24"/>
      <c r="W312" s="24"/>
      <c r="X312" s="24"/>
      <c r="Y312" s="24"/>
      <c r="Z312" s="24"/>
      <c r="AA312" s="24"/>
      <c r="AB312" s="24"/>
    </row>
    <row r="313" spans="14:28" ht="15.75" customHeight="1">
      <c r="N313" s="24"/>
      <c r="O313" s="24"/>
      <c r="P313" s="24"/>
      <c r="Q313" s="24"/>
      <c r="R313" s="24"/>
      <c r="S313" s="24"/>
      <c r="T313" s="24"/>
      <c r="U313" s="24"/>
      <c r="V313" s="24"/>
      <c r="W313" s="24"/>
      <c r="X313" s="24"/>
      <c r="Y313" s="24"/>
      <c r="Z313" s="24"/>
      <c r="AA313" s="24"/>
      <c r="AB313" s="24"/>
    </row>
    <row r="314" spans="14:28" ht="15.75" customHeight="1">
      <c r="N314" s="24"/>
      <c r="O314" s="24"/>
      <c r="P314" s="24"/>
      <c r="Q314" s="24"/>
      <c r="R314" s="24"/>
      <c r="S314" s="24"/>
      <c r="T314" s="24"/>
      <c r="U314" s="24"/>
      <c r="V314" s="24"/>
      <c r="W314" s="24"/>
      <c r="X314" s="24"/>
      <c r="Y314" s="24"/>
      <c r="Z314" s="24"/>
      <c r="AA314" s="24"/>
      <c r="AB314" s="24"/>
    </row>
    <row r="315" spans="14:28" ht="15.75" customHeight="1">
      <c r="N315" s="24"/>
      <c r="O315" s="24"/>
      <c r="P315" s="24"/>
      <c r="Q315" s="24"/>
      <c r="R315" s="24"/>
      <c r="S315" s="24"/>
      <c r="T315" s="24"/>
      <c r="U315" s="24"/>
      <c r="V315" s="24"/>
      <c r="W315" s="24"/>
      <c r="X315" s="24"/>
      <c r="Y315" s="24"/>
      <c r="Z315" s="24"/>
      <c r="AA315" s="24"/>
      <c r="AB315" s="24"/>
    </row>
    <row r="316" spans="14:28" ht="15.75" customHeight="1">
      <c r="N316" s="24"/>
      <c r="O316" s="24"/>
      <c r="P316" s="24"/>
      <c r="Q316" s="24"/>
      <c r="R316" s="24"/>
      <c r="S316" s="24"/>
      <c r="T316" s="24"/>
      <c r="U316" s="24"/>
      <c r="V316" s="24"/>
      <c r="W316" s="24"/>
      <c r="X316" s="24"/>
      <c r="Y316" s="24"/>
      <c r="Z316" s="24"/>
      <c r="AA316" s="24"/>
      <c r="AB316" s="24"/>
    </row>
    <row r="317" spans="14:28" ht="15.75" customHeight="1">
      <c r="N317" s="24"/>
      <c r="O317" s="24"/>
      <c r="P317" s="24"/>
      <c r="Q317" s="24"/>
      <c r="R317" s="24"/>
      <c r="S317" s="24"/>
      <c r="T317" s="24"/>
      <c r="U317" s="24"/>
      <c r="V317" s="24"/>
      <c r="W317" s="24"/>
      <c r="X317" s="24"/>
      <c r="Y317" s="24"/>
      <c r="Z317" s="24"/>
      <c r="AA317" s="24"/>
      <c r="AB317" s="24"/>
    </row>
    <row r="318" spans="14:28" ht="15.75" customHeight="1">
      <c r="N318" s="24"/>
      <c r="O318" s="24"/>
      <c r="P318" s="24"/>
      <c r="Q318" s="24"/>
      <c r="R318" s="24"/>
      <c r="S318" s="24"/>
      <c r="T318" s="24"/>
      <c r="U318" s="24"/>
      <c r="V318" s="24"/>
      <c r="W318" s="24"/>
      <c r="X318" s="24"/>
      <c r="Y318" s="24"/>
      <c r="Z318" s="24"/>
      <c r="AA318" s="24"/>
      <c r="AB318" s="24"/>
    </row>
    <row r="319" spans="14:28" ht="15.75" customHeight="1">
      <c r="N319" s="24"/>
      <c r="O319" s="24"/>
      <c r="P319" s="24"/>
      <c r="Q319" s="24"/>
      <c r="R319" s="24"/>
      <c r="S319" s="24"/>
      <c r="T319" s="24"/>
      <c r="U319" s="24"/>
      <c r="V319" s="24"/>
      <c r="W319" s="24"/>
      <c r="X319" s="24"/>
      <c r="Y319" s="24"/>
      <c r="Z319" s="24"/>
      <c r="AA319" s="24"/>
      <c r="AB319" s="24"/>
    </row>
    <row r="320" spans="14:28" ht="15.75" customHeight="1">
      <c r="N320" s="24"/>
      <c r="O320" s="24"/>
      <c r="P320" s="24"/>
      <c r="Q320" s="24"/>
      <c r="R320" s="24"/>
      <c r="S320" s="24"/>
      <c r="T320" s="24"/>
      <c r="U320" s="24"/>
      <c r="V320" s="24"/>
      <c r="W320" s="24"/>
      <c r="X320" s="24"/>
      <c r="Y320" s="24"/>
      <c r="Z320" s="24"/>
      <c r="AA320" s="24"/>
      <c r="AB320" s="24"/>
    </row>
    <row r="321" spans="14:28" ht="15.75" customHeight="1">
      <c r="N321" s="24"/>
      <c r="O321" s="24"/>
      <c r="P321" s="24"/>
      <c r="Q321" s="24"/>
      <c r="R321" s="24"/>
      <c r="S321" s="24"/>
      <c r="T321" s="24"/>
      <c r="U321" s="24"/>
      <c r="V321" s="24"/>
      <c r="W321" s="24"/>
      <c r="X321" s="24"/>
      <c r="Y321" s="24"/>
      <c r="Z321" s="24"/>
      <c r="AA321" s="24"/>
      <c r="AB321" s="24"/>
    </row>
    <row r="322" spans="14:28" ht="15.75" customHeight="1">
      <c r="N322" s="24"/>
      <c r="O322" s="24"/>
      <c r="P322" s="24"/>
      <c r="Q322" s="24"/>
      <c r="R322" s="24"/>
      <c r="S322" s="24"/>
      <c r="T322" s="24"/>
      <c r="U322" s="24"/>
      <c r="V322" s="24"/>
      <c r="W322" s="24"/>
      <c r="X322" s="24"/>
      <c r="Y322" s="24"/>
      <c r="Z322" s="24"/>
      <c r="AA322" s="24"/>
      <c r="AB322" s="24"/>
    </row>
    <row r="323" spans="14:28" ht="15.75" customHeight="1">
      <c r="N323" s="24"/>
      <c r="O323" s="24"/>
      <c r="P323" s="24"/>
      <c r="Q323" s="24"/>
      <c r="R323" s="24"/>
      <c r="S323" s="24"/>
      <c r="T323" s="24"/>
      <c r="U323" s="24"/>
      <c r="V323" s="24"/>
      <c r="W323" s="24"/>
      <c r="X323" s="24"/>
      <c r="Y323" s="24"/>
      <c r="Z323" s="24"/>
      <c r="AA323" s="24"/>
      <c r="AB323" s="24"/>
    </row>
    <row r="324" spans="14:28" ht="15.75" customHeight="1">
      <c r="N324" s="24"/>
      <c r="O324" s="24"/>
      <c r="P324" s="24"/>
      <c r="Q324" s="24"/>
      <c r="R324" s="24"/>
      <c r="S324" s="24"/>
      <c r="T324" s="24"/>
      <c r="U324" s="24"/>
      <c r="V324" s="24"/>
      <c r="W324" s="24"/>
      <c r="X324" s="24"/>
      <c r="Y324" s="24"/>
      <c r="Z324" s="24"/>
      <c r="AA324" s="24"/>
      <c r="AB324" s="24"/>
    </row>
    <row r="325" spans="14:28" ht="15.75" customHeight="1">
      <c r="N325" s="24"/>
      <c r="O325" s="24"/>
      <c r="P325" s="24"/>
      <c r="Q325" s="24"/>
      <c r="R325" s="24"/>
      <c r="S325" s="24"/>
      <c r="T325" s="24"/>
      <c r="U325" s="24"/>
      <c r="V325" s="24"/>
      <c r="W325" s="24"/>
      <c r="X325" s="24"/>
      <c r="Y325" s="24"/>
      <c r="Z325" s="24"/>
      <c r="AA325" s="24"/>
      <c r="AB325" s="24"/>
    </row>
    <row r="326" spans="14:28" ht="15.75" customHeight="1">
      <c r="N326" s="24"/>
      <c r="O326" s="24"/>
      <c r="P326" s="24"/>
      <c r="Q326" s="24"/>
      <c r="R326" s="24"/>
      <c r="S326" s="24"/>
      <c r="T326" s="24"/>
      <c r="U326" s="24"/>
      <c r="V326" s="24"/>
      <c r="W326" s="24"/>
      <c r="X326" s="24"/>
      <c r="Y326" s="24"/>
      <c r="Z326" s="24"/>
      <c r="AA326" s="24"/>
      <c r="AB326" s="24"/>
    </row>
    <row r="327" spans="14:28" ht="15.75" customHeight="1">
      <c r="N327" s="24"/>
      <c r="O327" s="24"/>
      <c r="P327" s="24"/>
      <c r="Q327" s="24"/>
      <c r="R327" s="24"/>
      <c r="S327" s="24"/>
      <c r="T327" s="24"/>
      <c r="U327" s="24"/>
      <c r="V327" s="24"/>
      <c r="W327" s="24"/>
      <c r="X327" s="24"/>
      <c r="Y327" s="24"/>
      <c r="Z327" s="24"/>
      <c r="AA327" s="24"/>
      <c r="AB327" s="24"/>
    </row>
    <row r="328" spans="14:28" ht="15.75" customHeight="1">
      <c r="N328" s="24"/>
      <c r="O328" s="24"/>
      <c r="P328" s="24"/>
      <c r="Q328" s="24"/>
      <c r="R328" s="24"/>
      <c r="S328" s="24"/>
      <c r="T328" s="24"/>
      <c r="U328" s="24"/>
      <c r="V328" s="24"/>
      <c r="W328" s="24"/>
      <c r="X328" s="24"/>
      <c r="Y328" s="24"/>
      <c r="Z328" s="24"/>
      <c r="AA328" s="24"/>
      <c r="AB328" s="24"/>
    </row>
    <row r="329" spans="14:28" ht="15.75" customHeight="1">
      <c r="N329" s="24"/>
      <c r="O329" s="24"/>
      <c r="P329" s="24"/>
      <c r="Q329" s="24"/>
      <c r="R329" s="24"/>
      <c r="S329" s="24"/>
      <c r="T329" s="24"/>
      <c r="U329" s="24"/>
      <c r="V329" s="24"/>
      <c r="W329" s="24"/>
      <c r="X329" s="24"/>
      <c r="Y329" s="24"/>
      <c r="Z329" s="24"/>
      <c r="AA329" s="24"/>
      <c r="AB329" s="24"/>
    </row>
    <row r="330" spans="14:28" ht="15.75" customHeight="1">
      <c r="N330" s="24"/>
      <c r="O330" s="24"/>
      <c r="P330" s="24"/>
      <c r="Q330" s="24"/>
      <c r="R330" s="24"/>
      <c r="S330" s="24"/>
      <c r="T330" s="24"/>
      <c r="U330" s="24"/>
      <c r="V330" s="24"/>
      <c r="W330" s="24"/>
      <c r="X330" s="24"/>
      <c r="Y330" s="24"/>
      <c r="Z330" s="24"/>
      <c r="AA330" s="24"/>
      <c r="AB330" s="24"/>
    </row>
    <row r="331" spans="14:28" ht="15.75" customHeight="1">
      <c r="N331" s="24"/>
      <c r="O331" s="24"/>
      <c r="P331" s="24"/>
      <c r="Q331" s="24"/>
      <c r="R331" s="24"/>
      <c r="S331" s="24"/>
      <c r="T331" s="24"/>
      <c r="U331" s="24"/>
      <c r="V331" s="24"/>
      <c r="W331" s="24"/>
      <c r="X331" s="24"/>
      <c r="Y331" s="24"/>
      <c r="Z331" s="24"/>
      <c r="AA331" s="24"/>
      <c r="AB331" s="24"/>
    </row>
    <row r="332" spans="14:28" ht="15.75" customHeight="1">
      <c r="N332" s="24"/>
      <c r="O332" s="24"/>
      <c r="P332" s="24"/>
      <c r="Q332" s="24"/>
      <c r="R332" s="24"/>
      <c r="S332" s="24"/>
      <c r="T332" s="24"/>
      <c r="U332" s="24"/>
      <c r="V332" s="24"/>
      <c r="W332" s="24"/>
      <c r="X332" s="24"/>
      <c r="Y332" s="24"/>
      <c r="Z332" s="24"/>
      <c r="AA332" s="24"/>
      <c r="AB332" s="24"/>
    </row>
    <row r="333" spans="14:28" ht="15.75" customHeight="1">
      <c r="N333" s="24"/>
      <c r="O333" s="24"/>
      <c r="P333" s="24"/>
      <c r="Q333" s="24"/>
      <c r="R333" s="24"/>
      <c r="S333" s="24"/>
      <c r="T333" s="24"/>
      <c r="U333" s="24"/>
      <c r="V333" s="24"/>
      <c r="W333" s="24"/>
      <c r="X333" s="24"/>
      <c r="Y333" s="24"/>
      <c r="Z333" s="24"/>
      <c r="AA333" s="24"/>
      <c r="AB333" s="24"/>
    </row>
    <row r="334" spans="14:28" ht="15.75" customHeight="1">
      <c r="N334" s="24"/>
      <c r="O334" s="24"/>
      <c r="P334" s="24"/>
      <c r="Q334" s="24"/>
      <c r="R334" s="24"/>
      <c r="S334" s="24"/>
      <c r="T334" s="24"/>
      <c r="U334" s="24"/>
      <c r="V334" s="24"/>
      <c r="W334" s="24"/>
      <c r="X334" s="24"/>
      <c r="Y334" s="24"/>
      <c r="Z334" s="24"/>
      <c r="AA334" s="24"/>
      <c r="AB334" s="24"/>
    </row>
    <row r="335" spans="14:28" ht="15.75" customHeight="1">
      <c r="N335" s="24"/>
      <c r="O335" s="24"/>
      <c r="P335" s="24"/>
      <c r="Q335" s="24"/>
      <c r="R335" s="24"/>
      <c r="S335" s="24"/>
      <c r="T335" s="24"/>
      <c r="U335" s="24"/>
      <c r="V335" s="24"/>
      <c r="W335" s="24"/>
      <c r="X335" s="24"/>
      <c r="Y335" s="24"/>
      <c r="Z335" s="24"/>
      <c r="AA335" s="24"/>
      <c r="AB335" s="24"/>
    </row>
    <row r="336" spans="14:28" ht="15.75" customHeight="1">
      <c r="N336" s="24"/>
      <c r="O336" s="24"/>
      <c r="P336" s="24"/>
      <c r="Q336" s="24"/>
      <c r="R336" s="24"/>
      <c r="S336" s="24"/>
      <c r="T336" s="24"/>
      <c r="U336" s="24"/>
      <c r="V336" s="24"/>
      <c r="W336" s="24"/>
      <c r="X336" s="24"/>
      <c r="Y336" s="24"/>
      <c r="Z336" s="24"/>
      <c r="AA336" s="24"/>
      <c r="AB336" s="24"/>
    </row>
    <row r="337" spans="14:28" ht="15.75" customHeight="1">
      <c r="N337" s="24"/>
      <c r="O337" s="24"/>
      <c r="P337" s="24"/>
      <c r="Q337" s="24"/>
      <c r="R337" s="24"/>
      <c r="S337" s="24"/>
      <c r="T337" s="24"/>
      <c r="U337" s="24"/>
      <c r="V337" s="24"/>
      <c r="W337" s="24"/>
      <c r="X337" s="24"/>
      <c r="Y337" s="24"/>
      <c r="Z337" s="24"/>
      <c r="AA337" s="24"/>
      <c r="AB337" s="24"/>
    </row>
    <row r="338" spans="14:28" ht="15.75" customHeight="1">
      <c r="N338" s="24"/>
      <c r="O338" s="24"/>
      <c r="P338" s="24"/>
      <c r="Q338" s="24"/>
      <c r="R338" s="24"/>
      <c r="S338" s="24"/>
      <c r="T338" s="24"/>
      <c r="U338" s="24"/>
      <c r="V338" s="24"/>
      <c r="W338" s="24"/>
      <c r="X338" s="24"/>
      <c r="Y338" s="24"/>
      <c r="Z338" s="24"/>
      <c r="AA338" s="24"/>
      <c r="AB338" s="24"/>
    </row>
    <row r="339" spans="14:28" ht="15.75" customHeight="1">
      <c r="N339" s="24"/>
      <c r="O339" s="24"/>
      <c r="P339" s="24"/>
      <c r="Q339" s="24"/>
      <c r="R339" s="24"/>
      <c r="S339" s="24"/>
      <c r="T339" s="24"/>
      <c r="U339" s="24"/>
      <c r="V339" s="24"/>
      <c r="W339" s="24"/>
      <c r="X339" s="24"/>
      <c r="Y339" s="24"/>
      <c r="Z339" s="24"/>
      <c r="AA339" s="24"/>
      <c r="AB339" s="24"/>
    </row>
    <row r="340" spans="14:28" ht="15.75" customHeight="1">
      <c r="N340" s="24"/>
      <c r="O340" s="24"/>
      <c r="P340" s="24"/>
      <c r="Q340" s="24"/>
      <c r="R340" s="24"/>
      <c r="S340" s="24"/>
      <c r="T340" s="24"/>
      <c r="U340" s="24"/>
      <c r="V340" s="24"/>
      <c r="W340" s="24"/>
      <c r="X340" s="24"/>
      <c r="Y340" s="24"/>
      <c r="Z340" s="24"/>
      <c r="AA340" s="24"/>
      <c r="AB340" s="24"/>
    </row>
    <row r="341" spans="14:28" ht="15.75" customHeight="1">
      <c r="N341" s="24"/>
      <c r="O341" s="24"/>
      <c r="P341" s="24"/>
      <c r="Q341" s="24"/>
      <c r="R341" s="24"/>
      <c r="S341" s="24"/>
      <c r="T341" s="24"/>
      <c r="U341" s="24"/>
      <c r="V341" s="24"/>
      <c r="W341" s="24"/>
      <c r="X341" s="24"/>
      <c r="Y341" s="24"/>
      <c r="Z341" s="24"/>
      <c r="AA341" s="24"/>
      <c r="AB341" s="24"/>
    </row>
    <row r="342" spans="14:28" ht="15.75" customHeight="1">
      <c r="N342" s="24"/>
      <c r="O342" s="24"/>
      <c r="P342" s="24"/>
      <c r="Q342" s="24"/>
      <c r="R342" s="24"/>
      <c r="S342" s="24"/>
      <c r="T342" s="24"/>
      <c r="U342" s="24"/>
      <c r="V342" s="24"/>
      <c r="W342" s="24"/>
      <c r="X342" s="24"/>
      <c r="Y342" s="24"/>
      <c r="Z342" s="24"/>
      <c r="AA342" s="24"/>
      <c r="AB342" s="24"/>
    </row>
    <row r="343" spans="14:28" ht="15.75" customHeight="1">
      <c r="N343" s="24"/>
      <c r="O343" s="24"/>
      <c r="P343" s="24"/>
      <c r="Q343" s="24"/>
      <c r="R343" s="24"/>
      <c r="S343" s="24"/>
      <c r="T343" s="24"/>
      <c r="U343" s="24"/>
      <c r="V343" s="24"/>
      <c r="W343" s="24"/>
      <c r="X343" s="24"/>
      <c r="Y343" s="24"/>
      <c r="Z343" s="24"/>
      <c r="AA343" s="24"/>
      <c r="AB343" s="24"/>
    </row>
    <row r="344" spans="14:28" ht="15.75" customHeight="1">
      <c r="N344" s="24"/>
      <c r="O344" s="24"/>
      <c r="P344" s="24"/>
      <c r="Q344" s="24"/>
      <c r="R344" s="24"/>
      <c r="S344" s="24"/>
      <c r="T344" s="24"/>
      <c r="U344" s="24"/>
      <c r="V344" s="24"/>
      <c r="W344" s="24"/>
      <c r="X344" s="24"/>
      <c r="Y344" s="24"/>
      <c r="Z344" s="24"/>
      <c r="AA344" s="24"/>
      <c r="AB344" s="24"/>
    </row>
    <row r="345" spans="14:28" ht="15.75" customHeight="1">
      <c r="N345" s="24"/>
      <c r="O345" s="24"/>
      <c r="P345" s="24"/>
      <c r="Q345" s="24"/>
      <c r="R345" s="24"/>
      <c r="S345" s="24"/>
      <c r="T345" s="24"/>
      <c r="U345" s="24"/>
      <c r="V345" s="24"/>
      <c r="W345" s="24"/>
      <c r="X345" s="24"/>
      <c r="Y345" s="24"/>
      <c r="Z345" s="24"/>
      <c r="AA345" s="24"/>
      <c r="AB345" s="24"/>
    </row>
    <row r="346" spans="14:28" ht="15.75" customHeight="1">
      <c r="N346" s="24"/>
      <c r="O346" s="24"/>
      <c r="P346" s="24"/>
      <c r="Q346" s="24"/>
      <c r="R346" s="24"/>
      <c r="S346" s="24"/>
      <c r="T346" s="24"/>
      <c r="U346" s="24"/>
      <c r="V346" s="24"/>
      <c r="W346" s="24"/>
      <c r="X346" s="24"/>
      <c r="Y346" s="24"/>
      <c r="Z346" s="24"/>
      <c r="AA346" s="24"/>
      <c r="AB346" s="24"/>
    </row>
    <row r="347" spans="14:28" ht="15.75" customHeight="1">
      <c r="N347" s="24"/>
      <c r="O347" s="24"/>
      <c r="P347" s="24"/>
      <c r="Q347" s="24"/>
      <c r="R347" s="24"/>
      <c r="S347" s="24"/>
      <c r="T347" s="24"/>
      <c r="U347" s="24"/>
      <c r="V347" s="24"/>
      <c r="W347" s="24"/>
      <c r="X347" s="24"/>
      <c r="Y347" s="24"/>
      <c r="Z347" s="24"/>
      <c r="AA347" s="24"/>
      <c r="AB347" s="24"/>
    </row>
    <row r="348" spans="14:28" ht="15.75" customHeight="1">
      <c r="N348" s="24"/>
      <c r="O348" s="24"/>
      <c r="P348" s="24"/>
      <c r="Q348" s="24"/>
      <c r="R348" s="24"/>
      <c r="S348" s="24"/>
      <c r="T348" s="24"/>
      <c r="U348" s="24"/>
      <c r="V348" s="24"/>
      <c r="W348" s="24"/>
      <c r="X348" s="24"/>
      <c r="Y348" s="24"/>
      <c r="Z348" s="24"/>
      <c r="AA348" s="24"/>
      <c r="AB348" s="24"/>
    </row>
    <row r="349" spans="14:28" ht="15.75" customHeight="1">
      <c r="N349" s="24"/>
      <c r="O349" s="24"/>
      <c r="P349" s="24"/>
      <c r="Q349" s="24"/>
      <c r="R349" s="24"/>
      <c r="S349" s="24"/>
      <c r="T349" s="24"/>
      <c r="U349" s="24"/>
      <c r="V349" s="24"/>
      <c r="W349" s="24"/>
      <c r="X349" s="24"/>
      <c r="Y349" s="24"/>
      <c r="Z349" s="24"/>
      <c r="AA349" s="24"/>
      <c r="AB349" s="24"/>
    </row>
    <row r="350" spans="14:28" ht="15.75" customHeight="1">
      <c r="N350" s="24"/>
      <c r="O350" s="24"/>
      <c r="P350" s="24"/>
      <c r="Q350" s="24"/>
      <c r="R350" s="24"/>
      <c r="S350" s="24"/>
      <c r="T350" s="24"/>
      <c r="U350" s="24"/>
      <c r="V350" s="24"/>
      <c r="W350" s="24"/>
      <c r="X350" s="24"/>
      <c r="Y350" s="24"/>
      <c r="Z350" s="24"/>
      <c r="AA350" s="24"/>
      <c r="AB350" s="24"/>
    </row>
    <row r="351" spans="14:28" ht="15.75" customHeight="1">
      <c r="N351" s="24"/>
      <c r="O351" s="24"/>
      <c r="P351" s="24"/>
      <c r="Q351" s="24"/>
      <c r="R351" s="24"/>
      <c r="S351" s="24"/>
      <c r="T351" s="24"/>
      <c r="U351" s="24"/>
      <c r="V351" s="24"/>
      <c r="W351" s="24"/>
      <c r="X351" s="24"/>
      <c r="Y351" s="24"/>
      <c r="Z351" s="24"/>
      <c r="AA351" s="24"/>
      <c r="AB351" s="24"/>
    </row>
    <row r="352" spans="14:28" ht="15.75" customHeight="1">
      <c r="N352" s="24"/>
      <c r="O352" s="24"/>
      <c r="P352" s="24"/>
      <c r="Q352" s="24"/>
      <c r="R352" s="24"/>
      <c r="S352" s="24"/>
      <c r="T352" s="24"/>
      <c r="U352" s="24"/>
      <c r="V352" s="24"/>
      <c r="W352" s="24"/>
      <c r="X352" s="24"/>
      <c r="Y352" s="24"/>
      <c r="Z352" s="24"/>
      <c r="AA352" s="24"/>
      <c r="AB352" s="24"/>
    </row>
    <row r="353" spans="14:28" ht="15.75" customHeight="1">
      <c r="N353" s="24"/>
      <c r="O353" s="24"/>
      <c r="P353" s="24"/>
      <c r="Q353" s="24"/>
      <c r="R353" s="24"/>
      <c r="S353" s="24"/>
      <c r="T353" s="24"/>
      <c r="U353" s="24"/>
      <c r="V353" s="24"/>
      <c r="W353" s="24"/>
      <c r="X353" s="24"/>
      <c r="Y353" s="24"/>
      <c r="Z353" s="24"/>
      <c r="AA353" s="24"/>
      <c r="AB353" s="24"/>
    </row>
    <row r="354" spans="14:28" ht="15.75" customHeight="1">
      <c r="N354" s="24"/>
      <c r="O354" s="24"/>
      <c r="P354" s="24"/>
      <c r="Q354" s="24"/>
      <c r="R354" s="24"/>
      <c r="S354" s="24"/>
      <c r="T354" s="24"/>
      <c r="U354" s="24"/>
      <c r="V354" s="24"/>
      <c r="W354" s="24"/>
      <c r="X354" s="24"/>
      <c r="Y354" s="24"/>
      <c r="Z354" s="24"/>
      <c r="AA354" s="24"/>
      <c r="AB354" s="24"/>
    </row>
    <row r="355" spans="14:28" ht="15.75" customHeight="1">
      <c r="N355" s="24"/>
      <c r="O355" s="24"/>
      <c r="P355" s="24"/>
      <c r="Q355" s="24"/>
      <c r="R355" s="24"/>
      <c r="S355" s="24"/>
      <c r="T355" s="24"/>
      <c r="U355" s="24"/>
      <c r="V355" s="24"/>
      <c r="W355" s="24"/>
      <c r="X355" s="24"/>
      <c r="Y355" s="24"/>
      <c r="Z355" s="24"/>
      <c r="AA355" s="24"/>
      <c r="AB355" s="24"/>
    </row>
    <row r="356" spans="14:28" ht="15.75" customHeight="1">
      <c r="N356" s="24"/>
      <c r="O356" s="24"/>
      <c r="P356" s="24"/>
      <c r="Q356" s="24"/>
      <c r="R356" s="24"/>
      <c r="S356" s="24"/>
      <c r="T356" s="24"/>
      <c r="U356" s="24"/>
      <c r="V356" s="24"/>
      <c r="W356" s="24"/>
      <c r="X356" s="24"/>
      <c r="Y356" s="24"/>
      <c r="Z356" s="24"/>
      <c r="AA356" s="24"/>
      <c r="AB356" s="24"/>
    </row>
    <row r="357" spans="14:28" ht="15.75" customHeight="1">
      <c r="N357" s="24"/>
      <c r="O357" s="24"/>
      <c r="P357" s="24"/>
      <c r="Q357" s="24"/>
      <c r="R357" s="24"/>
      <c r="S357" s="24"/>
      <c r="T357" s="24"/>
      <c r="U357" s="24"/>
      <c r="V357" s="24"/>
      <c r="W357" s="24"/>
      <c r="X357" s="24"/>
      <c r="Y357" s="24"/>
      <c r="Z357" s="24"/>
      <c r="AA357" s="24"/>
      <c r="AB357" s="24"/>
    </row>
    <row r="358" spans="14:28" ht="15.75" customHeight="1">
      <c r="N358" s="24"/>
      <c r="O358" s="24"/>
      <c r="P358" s="24"/>
      <c r="Q358" s="24"/>
      <c r="R358" s="24"/>
      <c r="S358" s="24"/>
      <c r="T358" s="24"/>
      <c r="U358" s="24"/>
      <c r="V358" s="24"/>
      <c r="W358" s="24"/>
      <c r="X358" s="24"/>
      <c r="Y358" s="24"/>
      <c r="Z358" s="24"/>
      <c r="AA358" s="24"/>
      <c r="AB358" s="24"/>
    </row>
    <row r="359" spans="14:28" ht="15.75" customHeight="1">
      <c r="N359" s="24"/>
      <c r="O359" s="24"/>
      <c r="P359" s="24"/>
      <c r="Q359" s="24"/>
      <c r="R359" s="24"/>
      <c r="S359" s="24"/>
      <c r="T359" s="24"/>
      <c r="U359" s="24"/>
      <c r="V359" s="24"/>
      <c r="W359" s="24"/>
      <c r="X359" s="24"/>
      <c r="Y359" s="24"/>
      <c r="Z359" s="24"/>
      <c r="AA359" s="24"/>
      <c r="AB359" s="24"/>
    </row>
    <row r="360" spans="14:28" ht="15.75" customHeight="1">
      <c r="N360" s="24"/>
      <c r="O360" s="24"/>
      <c r="P360" s="24"/>
      <c r="Q360" s="24"/>
      <c r="R360" s="24"/>
      <c r="S360" s="24"/>
      <c r="T360" s="24"/>
      <c r="U360" s="24"/>
      <c r="V360" s="24"/>
      <c r="W360" s="24"/>
      <c r="X360" s="24"/>
      <c r="Y360" s="24"/>
      <c r="Z360" s="24"/>
      <c r="AA360" s="24"/>
      <c r="AB360" s="24"/>
    </row>
    <row r="361" spans="14:28" ht="15.75" customHeight="1">
      <c r="N361" s="24"/>
      <c r="O361" s="24"/>
      <c r="P361" s="24"/>
      <c r="Q361" s="24"/>
      <c r="R361" s="24"/>
      <c r="S361" s="24"/>
      <c r="T361" s="24"/>
      <c r="U361" s="24"/>
      <c r="V361" s="24"/>
      <c r="W361" s="24"/>
      <c r="X361" s="24"/>
      <c r="Y361" s="24"/>
      <c r="Z361" s="24"/>
      <c r="AA361" s="24"/>
      <c r="AB361" s="24"/>
    </row>
    <row r="362" spans="14:28" ht="15.75" customHeight="1">
      <c r="N362" s="24"/>
      <c r="O362" s="24"/>
      <c r="P362" s="24"/>
      <c r="Q362" s="24"/>
      <c r="R362" s="24"/>
      <c r="S362" s="24"/>
      <c r="T362" s="24"/>
      <c r="U362" s="24"/>
      <c r="V362" s="24"/>
      <c r="W362" s="24"/>
      <c r="X362" s="24"/>
      <c r="Y362" s="24"/>
      <c r="Z362" s="24"/>
      <c r="AA362" s="24"/>
      <c r="AB362" s="24"/>
    </row>
    <row r="363" spans="14:28" ht="15.75" customHeight="1">
      <c r="N363" s="24"/>
      <c r="O363" s="24"/>
      <c r="P363" s="24"/>
      <c r="Q363" s="24"/>
      <c r="R363" s="24"/>
      <c r="S363" s="24"/>
      <c r="T363" s="24"/>
      <c r="U363" s="24"/>
      <c r="V363" s="24"/>
      <c r="W363" s="24"/>
      <c r="X363" s="24"/>
      <c r="Y363" s="24"/>
      <c r="Z363" s="24"/>
      <c r="AA363" s="24"/>
      <c r="AB363" s="24"/>
    </row>
    <row r="364" spans="14:28" ht="15.75" customHeight="1">
      <c r="N364" s="24"/>
      <c r="O364" s="24"/>
      <c r="P364" s="24"/>
      <c r="Q364" s="24"/>
      <c r="R364" s="24"/>
      <c r="S364" s="24"/>
      <c r="T364" s="24"/>
      <c r="U364" s="24"/>
      <c r="V364" s="24"/>
      <c r="W364" s="24"/>
      <c r="X364" s="24"/>
      <c r="Y364" s="24"/>
      <c r="Z364" s="24"/>
      <c r="AA364" s="24"/>
      <c r="AB364" s="24"/>
    </row>
    <row r="365" spans="14:28" ht="15.75" customHeight="1">
      <c r="N365" s="24"/>
      <c r="O365" s="24"/>
      <c r="P365" s="24"/>
      <c r="Q365" s="24"/>
      <c r="R365" s="24"/>
      <c r="S365" s="24"/>
      <c r="T365" s="24"/>
      <c r="U365" s="24"/>
      <c r="V365" s="24"/>
      <c r="W365" s="24"/>
      <c r="X365" s="24"/>
      <c r="Y365" s="24"/>
      <c r="Z365" s="24"/>
      <c r="AA365" s="24"/>
      <c r="AB365" s="24"/>
    </row>
    <row r="366" spans="14:28" ht="15.75" customHeight="1">
      <c r="N366" s="24"/>
      <c r="O366" s="24"/>
      <c r="P366" s="24"/>
      <c r="Q366" s="24"/>
      <c r="R366" s="24"/>
      <c r="S366" s="24"/>
      <c r="T366" s="24"/>
      <c r="U366" s="24"/>
      <c r="V366" s="24"/>
      <c r="W366" s="24"/>
      <c r="X366" s="24"/>
      <c r="Y366" s="24"/>
      <c r="Z366" s="24"/>
      <c r="AA366" s="24"/>
      <c r="AB366" s="24"/>
    </row>
    <row r="367" spans="14:28" ht="15.75" customHeight="1">
      <c r="N367" s="24"/>
      <c r="O367" s="24"/>
      <c r="P367" s="24"/>
      <c r="Q367" s="24"/>
      <c r="R367" s="24"/>
      <c r="S367" s="24"/>
      <c r="T367" s="24"/>
      <c r="U367" s="24"/>
      <c r="V367" s="24"/>
      <c r="W367" s="24"/>
      <c r="X367" s="24"/>
      <c r="Y367" s="24"/>
      <c r="Z367" s="24"/>
      <c r="AA367" s="24"/>
      <c r="AB367" s="24"/>
    </row>
    <row r="368" spans="14:28" ht="15.75" customHeight="1">
      <c r="N368" s="24"/>
      <c r="O368" s="24"/>
      <c r="P368" s="24"/>
      <c r="Q368" s="24"/>
      <c r="R368" s="24"/>
      <c r="S368" s="24"/>
      <c r="T368" s="24"/>
      <c r="U368" s="24"/>
      <c r="V368" s="24"/>
      <c r="W368" s="24"/>
      <c r="X368" s="24"/>
      <c r="Y368" s="24"/>
      <c r="Z368" s="24"/>
      <c r="AA368" s="24"/>
      <c r="AB368" s="24"/>
    </row>
    <row r="369" spans="14:28" ht="15.75" customHeight="1">
      <c r="N369" s="24"/>
      <c r="O369" s="24"/>
      <c r="P369" s="24"/>
      <c r="Q369" s="24"/>
      <c r="R369" s="24"/>
      <c r="S369" s="24"/>
      <c r="T369" s="24"/>
      <c r="U369" s="24"/>
      <c r="V369" s="24"/>
      <c r="W369" s="24"/>
      <c r="X369" s="24"/>
      <c r="Y369" s="24"/>
      <c r="Z369" s="24"/>
      <c r="AA369" s="24"/>
      <c r="AB369" s="24"/>
    </row>
    <row r="370" spans="14:28" ht="15.75" customHeight="1">
      <c r="N370" s="24"/>
      <c r="O370" s="24"/>
      <c r="P370" s="24"/>
      <c r="Q370" s="24"/>
      <c r="R370" s="24"/>
      <c r="S370" s="24"/>
      <c r="T370" s="24"/>
      <c r="U370" s="24"/>
      <c r="V370" s="24"/>
      <c r="W370" s="24"/>
      <c r="X370" s="24"/>
      <c r="Y370" s="24"/>
      <c r="Z370" s="24"/>
      <c r="AA370" s="24"/>
      <c r="AB370" s="24"/>
    </row>
    <row r="371" spans="14:28" ht="15.75" customHeight="1">
      <c r="N371" s="24"/>
      <c r="O371" s="24"/>
      <c r="P371" s="24"/>
      <c r="Q371" s="24"/>
      <c r="R371" s="24"/>
      <c r="S371" s="24"/>
      <c r="T371" s="24"/>
      <c r="U371" s="24"/>
      <c r="V371" s="24"/>
      <c r="W371" s="24"/>
      <c r="X371" s="24"/>
      <c r="Y371" s="24"/>
      <c r="Z371" s="24"/>
      <c r="AA371" s="24"/>
      <c r="AB371" s="24"/>
    </row>
    <row r="372" spans="14:28" ht="15.75" customHeight="1">
      <c r="N372" s="24"/>
      <c r="O372" s="24"/>
      <c r="P372" s="24"/>
      <c r="Q372" s="24"/>
      <c r="R372" s="24"/>
      <c r="S372" s="24"/>
      <c r="T372" s="24"/>
      <c r="U372" s="24"/>
      <c r="V372" s="24"/>
      <c r="W372" s="24"/>
      <c r="X372" s="24"/>
      <c r="Y372" s="24"/>
      <c r="Z372" s="24"/>
      <c r="AA372" s="24"/>
      <c r="AB372" s="24"/>
    </row>
    <row r="373" spans="14:28" ht="15.75" customHeight="1">
      <c r="N373" s="24"/>
      <c r="O373" s="24"/>
      <c r="P373" s="24"/>
      <c r="Q373" s="24"/>
      <c r="R373" s="24"/>
      <c r="S373" s="24"/>
      <c r="T373" s="24"/>
      <c r="U373" s="24"/>
      <c r="V373" s="24"/>
      <c r="W373" s="24"/>
      <c r="X373" s="24"/>
      <c r="Y373" s="24"/>
      <c r="Z373" s="24"/>
      <c r="AA373" s="24"/>
      <c r="AB373" s="24"/>
    </row>
    <row r="374" spans="14:28" ht="15.75" customHeight="1">
      <c r="N374" s="24"/>
      <c r="O374" s="24"/>
      <c r="P374" s="24"/>
      <c r="Q374" s="24"/>
      <c r="R374" s="24"/>
      <c r="S374" s="24"/>
      <c r="T374" s="24"/>
      <c r="U374" s="24"/>
      <c r="V374" s="24"/>
      <c r="W374" s="24"/>
      <c r="X374" s="24"/>
      <c r="Y374" s="24"/>
      <c r="Z374" s="24"/>
      <c r="AA374" s="24"/>
      <c r="AB374" s="24"/>
    </row>
    <row r="375" spans="14:28" ht="15.75" customHeight="1">
      <c r="N375" s="24"/>
      <c r="O375" s="24"/>
      <c r="P375" s="24"/>
      <c r="Q375" s="24"/>
      <c r="R375" s="24"/>
      <c r="S375" s="24"/>
      <c r="T375" s="24"/>
      <c r="U375" s="24"/>
      <c r="V375" s="24"/>
      <c r="W375" s="24"/>
      <c r="X375" s="24"/>
      <c r="Y375" s="24"/>
      <c r="Z375" s="24"/>
      <c r="AA375" s="24"/>
      <c r="AB375" s="24"/>
    </row>
    <row r="376" spans="14:28" ht="15.75" customHeight="1">
      <c r="N376" s="24"/>
      <c r="O376" s="24"/>
      <c r="P376" s="24"/>
      <c r="Q376" s="24"/>
      <c r="R376" s="24"/>
      <c r="S376" s="24"/>
      <c r="T376" s="24"/>
      <c r="U376" s="24"/>
      <c r="V376" s="24"/>
      <c r="W376" s="24"/>
      <c r="X376" s="24"/>
      <c r="Y376" s="24"/>
      <c r="Z376" s="24"/>
      <c r="AA376" s="24"/>
      <c r="AB376" s="24"/>
    </row>
    <row r="377" spans="14:28" ht="15.75" customHeight="1">
      <c r="N377" s="24"/>
      <c r="O377" s="24"/>
      <c r="P377" s="24"/>
      <c r="Q377" s="24"/>
      <c r="R377" s="24"/>
      <c r="S377" s="24"/>
      <c r="T377" s="24"/>
      <c r="U377" s="24"/>
      <c r="V377" s="24"/>
      <c r="W377" s="24"/>
      <c r="X377" s="24"/>
      <c r="Y377" s="24"/>
      <c r="Z377" s="24"/>
      <c r="AA377" s="24"/>
      <c r="AB377" s="24"/>
    </row>
    <row r="378" spans="14:28" ht="15.75" customHeight="1">
      <c r="N378" s="24"/>
      <c r="O378" s="24"/>
      <c r="P378" s="24"/>
      <c r="Q378" s="24"/>
      <c r="R378" s="24"/>
      <c r="S378" s="24"/>
      <c r="T378" s="24"/>
      <c r="U378" s="24"/>
      <c r="V378" s="24"/>
      <c r="W378" s="24"/>
      <c r="X378" s="24"/>
      <c r="Y378" s="24"/>
      <c r="Z378" s="24"/>
      <c r="AA378" s="24"/>
      <c r="AB378" s="24"/>
    </row>
    <row r="379" spans="14:28" ht="15.75" customHeight="1">
      <c r="N379" s="24"/>
      <c r="O379" s="24"/>
      <c r="P379" s="24"/>
      <c r="Q379" s="24"/>
      <c r="R379" s="24"/>
      <c r="S379" s="24"/>
      <c r="T379" s="24"/>
      <c r="U379" s="24"/>
      <c r="V379" s="24"/>
      <c r="W379" s="24"/>
      <c r="X379" s="24"/>
      <c r="Y379" s="24"/>
      <c r="Z379" s="24"/>
      <c r="AA379" s="24"/>
      <c r="AB379" s="24"/>
    </row>
    <row r="380" spans="14:28" ht="15.75" customHeight="1">
      <c r="N380" s="24"/>
      <c r="O380" s="24"/>
      <c r="P380" s="24"/>
      <c r="Q380" s="24"/>
      <c r="R380" s="24"/>
      <c r="S380" s="24"/>
      <c r="T380" s="24"/>
      <c r="U380" s="24"/>
      <c r="V380" s="24"/>
      <c r="W380" s="24"/>
      <c r="X380" s="24"/>
      <c r="Y380" s="24"/>
      <c r="Z380" s="24"/>
      <c r="AA380" s="24"/>
      <c r="AB380" s="24"/>
    </row>
    <row r="381" spans="14:28" ht="15.75" customHeight="1">
      <c r="N381" s="24"/>
      <c r="O381" s="24"/>
      <c r="P381" s="24"/>
      <c r="Q381" s="24"/>
      <c r="R381" s="24"/>
      <c r="S381" s="24"/>
      <c r="T381" s="24"/>
      <c r="U381" s="24"/>
      <c r="V381" s="24"/>
      <c r="W381" s="24"/>
      <c r="X381" s="24"/>
      <c r="Y381" s="24"/>
      <c r="Z381" s="24"/>
      <c r="AA381" s="24"/>
      <c r="AB381" s="24"/>
    </row>
    <row r="382" spans="14:28" ht="15.75" customHeight="1">
      <c r="N382" s="24"/>
      <c r="O382" s="24"/>
      <c r="P382" s="24"/>
      <c r="Q382" s="24"/>
      <c r="R382" s="24"/>
      <c r="S382" s="24"/>
      <c r="T382" s="24"/>
      <c r="U382" s="24"/>
      <c r="V382" s="24"/>
      <c r="W382" s="24"/>
      <c r="X382" s="24"/>
      <c r="Y382" s="24"/>
      <c r="Z382" s="24"/>
      <c r="AA382" s="24"/>
      <c r="AB382" s="24"/>
    </row>
    <row r="383" spans="14:28" ht="15.75" customHeight="1">
      <c r="N383" s="24"/>
      <c r="O383" s="24"/>
      <c r="P383" s="24"/>
      <c r="Q383" s="24"/>
      <c r="R383" s="24"/>
      <c r="S383" s="24"/>
      <c r="T383" s="24"/>
      <c r="U383" s="24"/>
      <c r="V383" s="24"/>
      <c r="W383" s="24"/>
      <c r="X383" s="24"/>
      <c r="Y383" s="24"/>
      <c r="Z383" s="24"/>
      <c r="AA383" s="24"/>
      <c r="AB383" s="24"/>
    </row>
    <row r="384" spans="14:28" ht="15.75" customHeight="1">
      <c r="N384" s="24"/>
      <c r="O384" s="24"/>
      <c r="P384" s="24"/>
      <c r="Q384" s="24"/>
      <c r="R384" s="24"/>
      <c r="S384" s="24"/>
      <c r="T384" s="24"/>
      <c r="U384" s="24"/>
      <c r="V384" s="24"/>
      <c r="W384" s="24"/>
      <c r="X384" s="24"/>
      <c r="Y384" s="24"/>
      <c r="Z384" s="24"/>
      <c r="AA384" s="24"/>
      <c r="AB384" s="24"/>
    </row>
    <row r="385" spans="14:28" ht="15.75" customHeight="1">
      <c r="N385" s="24"/>
      <c r="O385" s="24"/>
      <c r="P385" s="24"/>
      <c r="Q385" s="24"/>
      <c r="R385" s="24"/>
      <c r="S385" s="24"/>
      <c r="T385" s="24"/>
      <c r="U385" s="24"/>
      <c r="V385" s="24"/>
      <c r="W385" s="24"/>
      <c r="X385" s="24"/>
      <c r="Y385" s="24"/>
      <c r="Z385" s="24"/>
      <c r="AA385" s="24"/>
      <c r="AB385" s="24"/>
    </row>
    <row r="386" spans="14:28" ht="15.75" customHeight="1">
      <c r="N386" s="24"/>
      <c r="O386" s="24"/>
      <c r="P386" s="24"/>
      <c r="Q386" s="24"/>
      <c r="R386" s="24"/>
      <c r="S386" s="24"/>
      <c r="T386" s="24"/>
      <c r="U386" s="24"/>
      <c r="V386" s="24"/>
      <c r="W386" s="24"/>
      <c r="X386" s="24"/>
      <c r="Y386" s="24"/>
      <c r="Z386" s="24"/>
      <c r="AA386" s="24"/>
      <c r="AB386" s="24"/>
    </row>
    <row r="387" spans="14:28" ht="15.75" customHeight="1">
      <c r="N387" s="24"/>
      <c r="O387" s="24"/>
      <c r="P387" s="24"/>
      <c r="Q387" s="24"/>
      <c r="R387" s="24"/>
      <c r="S387" s="24"/>
      <c r="T387" s="24"/>
      <c r="U387" s="24"/>
      <c r="V387" s="24"/>
      <c r="W387" s="24"/>
      <c r="X387" s="24"/>
      <c r="Y387" s="24"/>
      <c r="Z387" s="24"/>
      <c r="AA387" s="24"/>
      <c r="AB387" s="24"/>
    </row>
    <row r="388" spans="14:28" ht="15.75" customHeight="1">
      <c r="N388" s="24"/>
      <c r="O388" s="24"/>
      <c r="P388" s="24"/>
      <c r="Q388" s="24"/>
      <c r="R388" s="24"/>
      <c r="S388" s="24"/>
      <c r="T388" s="24"/>
      <c r="U388" s="24"/>
      <c r="V388" s="24"/>
      <c r="W388" s="24"/>
      <c r="X388" s="24"/>
      <c r="Y388" s="24"/>
      <c r="Z388" s="24"/>
      <c r="AA388" s="24"/>
      <c r="AB388" s="24"/>
    </row>
    <row r="389" spans="14:28" ht="15.75" customHeight="1">
      <c r="N389" s="24"/>
      <c r="O389" s="24"/>
      <c r="P389" s="24"/>
      <c r="Q389" s="24"/>
      <c r="R389" s="24"/>
      <c r="S389" s="24"/>
      <c r="T389" s="24"/>
      <c r="U389" s="24"/>
      <c r="V389" s="24"/>
      <c r="W389" s="24"/>
      <c r="X389" s="24"/>
      <c r="Y389" s="24"/>
      <c r="Z389" s="24"/>
      <c r="AA389" s="24"/>
      <c r="AB389" s="24"/>
    </row>
    <row r="390" spans="14:28" ht="15.75" customHeight="1">
      <c r="N390" s="24"/>
      <c r="O390" s="24"/>
      <c r="P390" s="24"/>
      <c r="Q390" s="24"/>
      <c r="R390" s="24"/>
      <c r="S390" s="24"/>
      <c r="T390" s="24"/>
      <c r="U390" s="24"/>
      <c r="V390" s="24"/>
      <c r="W390" s="24"/>
      <c r="X390" s="24"/>
      <c r="Y390" s="24"/>
      <c r="Z390" s="24"/>
      <c r="AA390" s="24"/>
      <c r="AB390" s="24"/>
    </row>
    <row r="391" spans="14:28" ht="15.75" customHeight="1">
      <c r="N391" s="24"/>
      <c r="O391" s="24"/>
      <c r="P391" s="24"/>
      <c r="Q391" s="24"/>
      <c r="R391" s="24"/>
      <c r="S391" s="24"/>
      <c r="T391" s="24"/>
      <c r="U391" s="24"/>
      <c r="V391" s="24"/>
      <c r="W391" s="24"/>
      <c r="X391" s="24"/>
      <c r="Y391" s="24"/>
      <c r="Z391" s="24"/>
      <c r="AA391" s="24"/>
      <c r="AB391" s="24"/>
    </row>
    <row r="392" spans="14:28" ht="15.75" customHeight="1">
      <c r="N392" s="24"/>
      <c r="O392" s="24"/>
      <c r="P392" s="24"/>
      <c r="Q392" s="24"/>
      <c r="R392" s="24"/>
      <c r="S392" s="24"/>
      <c r="T392" s="24"/>
      <c r="U392" s="24"/>
      <c r="V392" s="24"/>
      <c r="W392" s="24"/>
      <c r="X392" s="24"/>
      <c r="Y392" s="24"/>
      <c r="Z392" s="24"/>
      <c r="AA392" s="24"/>
      <c r="AB392" s="24"/>
    </row>
    <row r="393" spans="14:28" ht="15.75" customHeight="1">
      <c r="N393" s="24"/>
      <c r="O393" s="24"/>
      <c r="P393" s="24"/>
      <c r="Q393" s="24"/>
      <c r="R393" s="24"/>
      <c r="S393" s="24"/>
      <c r="T393" s="24"/>
      <c r="U393" s="24"/>
      <c r="V393" s="24"/>
      <c r="W393" s="24"/>
      <c r="X393" s="24"/>
      <c r="Y393" s="24"/>
      <c r="Z393" s="24"/>
      <c r="AA393" s="24"/>
      <c r="AB393" s="24"/>
    </row>
    <row r="394" spans="14:28" ht="15.75" customHeight="1">
      <c r="N394" s="24"/>
      <c r="O394" s="24"/>
      <c r="P394" s="24"/>
      <c r="Q394" s="24"/>
      <c r="R394" s="24"/>
      <c r="S394" s="24"/>
      <c r="T394" s="24"/>
      <c r="U394" s="24"/>
      <c r="V394" s="24"/>
      <c r="W394" s="24"/>
      <c r="X394" s="24"/>
      <c r="Y394" s="24"/>
      <c r="Z394" s="24"/>
      <c r="AA394" s="24"/>
      <c r="AB394" s="24"/>
    </row>
    <row r="395" spans="14:28" ht="15.75" customHeight="1">
      <c r="N395" s="24"/>
      <c r="O395" s="24"/>
      <c r="P395" s="24"/>
      <c r="Q395" s="24"/>
      <c r="R395" s="24"/>
      <c r="S395" s="24"/>
      <c r="T395" s="24"/>
      <c r="U395" s="24"/>
      <c r="V395" s="24"/>
      <c r="W395" s="24"/>
      <c r="X395" s="24"/>
      <c r="Y395" s="24"/>
      <c r="Z395" s="24"/>
      <c r="AA395" s="24"/>
      <c r="AB395" s="24"/>
    </row>
    <row r="396" spans="14:28" ht="15.75" customHeight="1">
      <c r="N396" s="24"/>
      <c r="O396" s="24"/>
      <c r="P396" s="24"/>
      <c r="Q396" s="24"/>
      <c r="R396" s="24"/>
      <c r="S396" s="24"/>
      <c r="T396" s="24"/>
      <c r="U396" s="24"/>
      <c r="V396" s="24"/>
      <c r="W396" s="24"/>
      <c r="X396" s="24"/>
      <c r="Y396" s="24"/>
      <c r="Z396" s="24"/>
      <c r="AA396" s="24"/>
      <c r="AB396" s="24"/>
    </row>
    <row r="397" spans="14:28" ht="15.75" customHeight="1">
      <c r="N397" s="24"/>
      <c r="O397" s="24"/>
      <c r="P397" s="24"/>
      <c r="Q397" s="24"/>
      <c r="R397" s="24"/>
      <c r="S397" s="24"/>
      <c r="T397" s="24"/>
      <c r="U397" s="24"/>
      <c r="V397" s="24"/>
      <c r="W397" s="24"/>
      <c r="X397" s="24"/>
      <c r="Y397" s="24"/>
      <c r="Z397" s="24"/>
      <c r="AA397" s="24"/>
      <c r="AB397" s="24"/>
    </row>
    <row r="398" spans="14:28" ht="15.75" customHeight="1">
      <c r="N398" s="24"/>
      <c r="O398" s="24"/>
      <c r="P398" s="24"/>
      <c r="Q398" s="24"/>
      <c r="R398" s="24"/>
      <c r="S398" s="24"/>
      <c r="T398" s="24"/>
      <c r="U398" s="24"/>
      <c r="V398" s="24"/>
      <c r="W398" s="24"/>
      <c r="X398" s="24"/>
      <c r="Y398" s="24"/>
      <c r="Z398" s="24"/>
      <c r="AA398" s="24"/>
      <c r="AB398" s="24"/>
    </row>
    <row r="399" spans="14:28" ht="15.75" customHeight="1">
      <c r="N399" s="24"/>
      <c r="O399" s="24"/>
      <c r="P399" s="24"/>
      <c r="Q399" s="24"/>
      <c r="R399" s="24"/>
      <c r="S399" s="24"/>
      <c r="T399" s="24"/>
      <c r="U399" s="24"/>
      <c r="V399" s="24"/>
      <c r="W399" s="24"/>
      <c r="X399" s="24"/>
      <c r="Y399" s="24"/>
      <c r="Z399" s="24"/>
      <c r="AA399" s="24"/>
      <c r="AB399" s="24"/>
    </row>
    <row r="400" spans="14:28" ht="15.75" customHeight="1">
      <c r="N400" s="24"/>
      <c r="O400" s="24"/>
      <c r="P400" s="24"/>
      <c r="Q400" s="24"/>
      <c r="R400" s="24"/>
      <c r="S400" s="24"/>
      <c r="T400" s="24"/>
      <c r="U400" s="24"/>
      <c r="V400" s="24"/>
      <c r="W400" s="24"/>
      <c r="X400" s="24"/>
      <c r="Y400" s="24"/>
      <c r="Z400" s="24"/>
      <c r="AA400" s="24"/>
      <c r="AB400" s="24"/>
    </row>
    <row r="401" spans="14:28" ht="15.75" customHeight="1">
      <c r="N401" s="24"/>
      <c r="O401" s="24"/>
      <c r="P401" s="24"/>
      <c r="Q401" s="24"/>
      <c r="R401" s="24"/>
      <c r="S401" s="24"/>
      <c r="T401" s="24"/>
      <c r="U401" s="24"/>
      <c r="V401" s="24"/>
      <c r="W401" s="24"/>
      <c r="X401" s="24"/>
      <c r="Y401" s="24"/>
      <c r="Z401" s="24"/>
      <c r="AA401" s="24"/>
      <c r="AB401" s="24"/>
    </row>
    <row r="402" spans="14:28" ht="15.75" customHeight="1">
      <c r="N402" s="24"/>
      <c r="O402" s="24"/>
      <c r="P402" s="24"/>
      <c r="Q402" s="24"/>
      <c r="R402" s="24"/>
      <c r="S402" s="24"/>
      <c r="T402" s="24"/>
      <c r="U402" s="24"/>
      <c r="V402" s="24"/>
      <c r="W402" s="24"/>
      <c r="X402" s="24"/>
      <c r="Y402" s="24"/>
      <c r="Z402" s="24"/>
      <c r="AA402" s="24"/>
      <c r="AB402" s="24"/>
    </row>
    <row r="403" spans="14:28" ht="15.75" customHeight="1">
      <c r="N403" s="24"/>
      <c r="O403" s="24"/>
      <c r="P403" s="24"/>
      <c r="Q403" s="24"/>
      <c r="R403" s="24"/>
      <c r="S403" s="24"/>
      <c r="T403" s="24"/>
      <c r="U403" s="24"/>
      <c r="V403" s="24"/>
      <c r="W403" s="24"/>
      <c r="X403" s="24"/>
      <c r="Y403" s="24"/>
      <c r="Z403" s="24"/>
      <c r="AA403" s="24"/>
      <c r="AB403" s="24"/>
    </row>
    <row r="404" spans="14:28" ht="15.75" customHeight="1">
      <c r="N404" s="24"/>
      <c r="O404" s="24"/>
      <c r="P404" s="24"/>
      <c r="Q404" s="24"/>
      <c r="R404" s="24"/>
      <c r="S404" s="24"/>
      <c r="T404" s="24"/>
      <c r="U404" s="24"/>
      <c r="V404" s="24"/>
      <c r="W404" s="24"/>
      <c r="X404" s="24"/>
      <c r="Y404" s="24"/>
      <c r="Z404" s="24"/>
      <c r="AA404" s="24"/>
      <c r="AB404" s="24"/>
    </row>
    <row r="405" spans="14:28" ht="15.75" customHeight="1">
      <c r="N405" s="24"/>
      <c r="O405" s="24"/>
      <c r="P405" s="24"/>
      <c r="Q405" s="24"/>
      <c r="R405" s="24"/>
      <c r="S405" s="24"/>
      <c r="T405" s="24"/>
      <c r="U405" s="24"/>
      <c r="V405" s="24"/>
      <c r="W405" s="24"/>
      <c r="X405" s="24"/>
      <c r="Y405" s="24"/>
      <c r="Z405" s="24"/>
      <c r="AA405" s="24"/>
      <c r="AB405" s="24"/>
    </row>
    <row r="406" spans="14:28" ht="15.75" customHeight="1">
      <c r="N406" s="24"/>
      <c r="O406" s="24"/>
      <c r="P406" s="24"/>
      <c r="Q406" s="24"/>
      <c r="R406" s="24"/>
      <c r="S406" s="24"/>
      <c r="T406" s="24"/>
      <c r="U406" s="24"/>
      <c r="V406" s="24"/>
      <c r="W406" s="24"/>
      <c r="X406" s="24"/>
      <c r="Y406" s="24"/>
      <c r="Z406" s="24"/>
      <c r="AA406" s="24"/>
      <c r="AB406" s="24"/>
    </row>
    <row r="407" spans="14:28" ht="15.75" customHeight="1">
      <c r="N407" s="24"/>
      <c r="O407" s="24"/>
      <c r="P407" s="24"/>
      <c r="Q407" s="24"/>
      <c r="R407" s="24"/>
      <c r="S407" s="24"/>
      <c r="T407" s="24"/>
      <c r="U407" s="24"/>
      <c r="V407" s="24"/>
      <c r="W407" s="24"/>
      <c r="X407" s="24"/>
      <c r="Y407" s="24"/>
      <c r="Z407" s="24"/>
      <c r="AA407" s="24"/>
      <c r="AB407" s="24"/>
    </row>
    <row r="408" spans="14:28" ht="15.75" customHeight="1">
      <c r="N408" s="24"/>
      <c r="O408" s="24"/>
      <c r="P408" s="24"/>
      <c r="Q408" s="24"/>
      <c r="R408" s="24"/>
      <c r="S408" s="24"/>
      <c r="T408" s="24"/>
      <c r="U408" s="24"/>
      <c r="V408" s="24"/>
      <c r="W408" s="24"/>
      <c r="X408" s="24"/>
      <c r="Y408" s="24"/>
      <c r="Z408" s="24"/>
      <c r="AA408" s="24"/>
      <c r="AB408" s="24"/>
    </row>
    <row r="409" spans="14:28" ht="15.75" customHeight="1">
      <c r="N409" s="24"/>
      <c r="O409" s="24"/>
      <c r="P409" s="24"/>
      <c r="Q409" s="24"/>
      <c r="R409" s="24"/>
      <c r="S409" s="24"/>
      <c r="T409" s="24"/>
      <c r="U409" s="24"/>
      <c r="V409" s="24"/>
      <c r="W409" s="24"/>
      <c r="X409" s="24"/>
      <c r="Y409" s="24"/>
      <c r="Z409" s="24"/>
      <c r="AA409" s="24"/>
      <c r="AB409" s="24"/>
    </row>
    <row r="410" spans="14:28" ht="15.75" customHeight="1">
      <c r="N410" s="24"/>
      <c r="O410" s="24"/>
      <c r="P410" s="24"/>
      <c r="Q410" s="24"/>
      <c r="R410" s="24"/>
      <c r="S410" s="24"/>
      <c r="T410" s="24"/>
      <c r="U410" s="24"/>
      <c r="V410" s="24"/>
      <c r="W410" s="24"/>
      <c r="X410" s="24"/>
      <c r="Y410" s="24"/>
      <c r="Z410" s="24"/>
      <c r="AA410" s="24"/>
      <c r="AB410" s="24"/>
    </row>
    <row r="411" spans="14:28" ht="15.75" customHeight="1">
      <c r="N411" s="24"/>
      <c r="O411" s="24"/>
      <c r="P411" s="24"/>
      <c r="Q411" s="24"/>
      <c r="R411" s="24"/>
      <c r="S411" s="24"/>
      <c r="T411" s="24"/>
      <c r="U411" s="24"/>
      <c r="V411" s="24"/>
      <c r="W411" s="24"/>
      <c r="X411" s="24"/>
      <c r="Y411" s="24"/>
      <c r="Z411" s="24"/>
      <c r="AA411" s="24"/>
      <c r="AB411" s="24"/>
    </row>
    <row r="412" spans="14:28" ht="15.75" customHeight="1">
      <c r="N412" s="24"/>
      <c r="O412" s="24"/>
      <c r="P412" s="24"/>
      <c r="Q412" s="24"/>
      <c r="R412" s="24"/>
      <c r="S412" s="24"/>
      <c r="T412" s="24"/>
      <c r="U412" s="24"/>
      <c r="V412" s="24"/>
      <c r="W412" s="24"/>
      <c r="X412" s="24"/>
      <c r="Y412" s="24"/>
      <c r="Z412" s="24"/>
      <c r="AA412" s="24"/>
      <c r="AB412" s="24"/>
    </row>
    <row r="413" spans="14:28" ht="15.75" customHeight="1">
      <c r="N413" s="24"/>
      <c r="O413" s="24"/>
      <c r="P413" s="24"/>
      <c r="Q413" s="24"/>
      <c r="R413" s="24"/>
      <c r="S413" s="24"/>
      <c r="T413" s="24"/>
      <c r="U413" s="24"/>
      <c r="V413" s="24"/>
      <c r="W413" s="24"/>
      <c r="X413" s="24"/>
      <c r="Y413" s="24"/>
      <c r="Z413" s="24"/>
      <c r="AA413" s="24"/>
      <c r="AB413" s="24"/>
    </row>
    <row r="414" spans="14:28" ht="15.75" customHeight="1">
      <c r="N414" s="24"/>
      <c r="O414" s="24"/>
      <c r="P414" s="24"/>
      <c r="Q414" s="24"/>
      <c r="R414" s="24"/>
      <c r="S414" s="24"/>
      <c r="T414" s="24"/>
      <c r="U414" s="24"/>
      <c r="V414" s="24"/>
      <c r="W414" s="24"/>
      <c r="X414" s="24"/>
      <c r="Y414" s="24"/>
      <c r="Z414" s="24"/>
      <c r="AA414" s="24"/>
      <c r="AB414" s="24"/>
    </row>
    <row r="415" spans="14:28" ht="15.75" customHeight="1">
      <c r="N415" s="24"/>
      <c r="O415" s="24"/>
      <c r="P415" s="24"/>
      <c r="Q415" s="24"/>
      <c r="R415" s="24"/>
      <c r="S415" s="24"/>
      <c r="T415" s="24"/>
      <c r="U415" s="24"/>
      <c r="V415" s="24"/>
      <c r="W415" s="24"/>
      <c r="X415" s="24"/>
      <c r="Y415" s="24"/>
      <c r="Z415" s="24"/>
      <c r="AA415" s="24"/>
      <c r="AB415" s="24"/>
    </row>
    <row r="416" spans="14:28" ht="15.75" customHeight="1">
      <c r="N416" s="24"/>
      <c r="O416" s="24"/>
      <c r="P416" s="24"/>
      <c r="Q416" s="24"/>
      <c r="R416" s="24"/>
      <c r="S416" s="24"/>
      <c r="T416" s="24"/>
      <c r="U416" s="24"/>
      <c r="V416" s="24"/>
      <c r="W416" s="24"/>
      <c r="X416" s="24"/>
      <c r="Y416" s="24"/>
      <c r="Z416" s="24"/>
      <c r="AA416" s="24"/>
      <c r="AB416" s="24"/>
    </row>
    <row r="417" spans="14:28" ht="15.75" customHeight="1">
      <c r="N417" s="24"/>
      <c r="O417" s="24"/>
      <c r="P417" s="24"/>
      <c r="Q417" s="24"/>
      <c r="R417" s="24"/>
      <c r="S417" s="24"/>
      <c r="T417" s="24"/>
      <c r="U417" s="24"/>
      <c r="V417" s="24"/>
      <c r="W417" s="24"/>
      <c r="X417" s="24"/>
      <c r="Y417" s="24"/>
      <c r="Z417" s="24"/>
      <c r="AA417" s="24"/>
      <c r="AB417" s="24"/>
    </row>
    <row r="418" spans="14:28" ht="15.75" customHeight="1">
      <c r="N418" s="24"/>
      <c r="O418" s="24"/>
      <c r="P418" s="24"/>
      <c r="Q418" s="24"/>
      <c r="R418" s="24"/>
      <c r="S418" s="24"/>
      <c r="T418" s="24"/>
      <c r="U418" s="24"/>
      <c r="V418" s="24"/>
      <c r="W418" s="24"/>
      <c r="X418" s="24"/>
      <c r="Y418" s="24"/>
      <c r="Z418" s="24"/>
      <c r="AA418" s="24"/>
      <c r="AB418" s="24"/>
    </row>
    <row r="419" spans="14:28" ht="15.75" customHeight="1">
      <c r="N419" s="24"/>
      <c r="O419" s="24"/>
      <c r="P419" s="24"/>
      <c r="Q419" s="24"/>
      <c r="R419" s="24"/>
      <c r="S419" s="24"/>
      <c r="T419" s="24"/>
      <c r="U419" s="24"/>
      <c r="V419" s="24"/>
      <c r="W419" s="24"/>
      <c r="X419" s="24"/>
      <c r="Y419" s="24"/>
      <c r="Z419" s="24"/>
      <c r="AA419" s="24"/>
      <c r="AB419" s="24"/>
    </row>
    <row r="420" spans="14:28" ht="15.75" customHeight="1">
      <c r="N420" s="24"/>
      <c r="O420" s="24"/>
      <c r="P420" s="24"/>
      <c r="Q420" s="24"/>
      <c r="R420" s="24"/>
      <c r="S420" s="24"/>
      <c r="T420" s="24"/>
      <c r="U420" s="24"/>
      <c r="V420" s="24"/>
      <c r="W420" s="24"/>
      <c r="X420" s="24"/>
      <c r="Y420" s="24"/>
      <c r="Z420" s="24"/>
      <c r="AA420" s="24"/>
      <c r="AB420" s="24"/>
    </row>
    <row r="421" spans="14:28" ht="15.75" customHeight="1">
      <c r="N421" s="24"/>
      <c r="O421" s="24"/>
      <c r="P421" s="24"/>
      <c r="Q421" s="24"/>
      <c r="R421" s="24"/>
      <c r="S421" s="24"/>
      <c r="T421" s="24"/>
      <c r="U421" s="24"/>
      <c r="V421" s="24"/>
      <c r="W421" s="24"/>
      <c r="X421" s="24"/>
      <c r="Y421" s="24"/>
      <c r="Z421" s="24"/>
      <c r="AA421" s="24"/>
      <c r="AB421" s="24"/>
    </row>
    <row r="422" spans="14:28" ht="15.75" customHeight="1">
      <c r="N422" s="24"/>
      <c r="O422" s="24"/>
      <c r="P422" s="24"/>
      <c r="Q422" s="24"/>
      <c r="R422" s="24"/>
      <c r="S422" s="24"/>
      <c r="T422" s="24"/>
      <c r="U422" s="24"/>
      <c r="V422" s="24"/>
      <c r="W422" s="24"/>
      <c r="X422" s="24"/>
      <c r="Y422" s="24"/>
      <c r="Z422" s="24"/>
      <c r="AA422" s="24"/>
      <c r="AB422" s="24"/>
    </row>
    <row r="423" spans="14:28" ht="15.75" customHeight="1">
      <c r="N423" s="24"/>
      <c r="O423" s="24"/>
      <c r="P423" s="24"/>
      <c r="Q423" s="24"/>
      <c r="R423" s="24"/>
      <c r="S423" s="24"/>
      <c r="T423" s="24"/>
      <c r="U423" s="24"/>
      <c r="V423" s="24"/>
      <c r="W423" s="24"/>
      <c r="X423" s="24"/>
      <c r="Y423" s="24"/>
      <c r="Z423" s="24"/>
      <c r="AA423" s="24"/>
      <c r="AB423" s="24"/>
    </row>
    <row r="424" spans="14:28" ht="15.75" customHeight="1">
      <c r="N424" s="24"/>
      <c r="O424" s="24"/>
      <c r="P424" s="24"/>
      <c r="Q424" s="24"/>
      <c r="R424" s="24"/>
      <c r="S424" s="24"/>
      <c r="T424" s="24"/>
      <c r="U424" s="24"/>
      <c r="V424" s="24"/>
      <c r="W424" s="24"/>
      <c r="X424" s="24"/>
      <c r="Y424" s="24"/>
      <c r="Z424" s="24"/>
      <c r="AA424" s="24"/>
      <c r="AB424" s="24"/>
    </row>
    <row r="425" spans="14:28" ht="15.75" customHeight="1">
      <c r="N425" s="24"/>
      <c r="O425" s="24"/>
      <c r="P425" s="24"/>
      <c r="Q425" s="24"/>
      <c r="R425" s="24"/>
      <c r="S425" s="24"/>
      <c r="T425" s="24"/>
      <c r="U425" s="24"/>
      <c r="V425" s="24"/>
      <c r="W425" s="24"/>
      <c r="X425" s="24"/>
      <c r="Y425" s="24"/>
      <c r="Z425" s="24"/>
      <c r="AA425" s="24"/>
      <c r="AB425" s="24"/>
    </row>
    <row r="426" spans="14:28" ht="15.75" customHeight="1">
      <c r="N426" s="24"/>
      <c r="O426" s="24"/>
      <c r="P426" s="24"/>
      <c r="Q426" s="24"/>
      <c r="R426" s="24"/>
      <c r="S426" s="24"/>
      <c r="T426" s="24"/>
      <c r="U426" s="24"/>
      <c r="V426" s="24"/>
      <c r="W426" s="24"/>
      <c r="X426" s="24"/>
      <c r="Y426" s="24"/>
      <c r="Z426" s="24"/>
      <c r="AA426" s="24"/>
      <c r="AB426" s="24"/>
    </row>
    <row r="427" spans="14:28" ht="15.75" customHeight="1">
      <c r="N427" s="24"/>
      <c r="O427" s="24"/>
      <c r="P427" s="24"/>
      <c r="Q427" s="24"/>
      <c r="R427" s="24"/>
      <c r="S427" s="24"/>
      <c r="T427" s="24"/>
      <c r="U427" s="24"/>
      <c r="V427" s="24"/>
      <c r="W427" s="24"/>
      <c r="X427" s="24"/>
      <c r="Y427" s="24"/>
      <c r="Z427" s="24"/>
      <c r="AA427" s="24"/>
      <c r="AB427" s="24"/>
    </row>
    <row r="428" spans="14:28" ht="15.75" customHeight="1">
      <c r="N428" s="24"/>
      <c r="O428" s="24"/>
      <c r="P428" s="24"/>
      <c r="Q428" s="24"/>
      <c r="R428" s="24"/>
      <c r="S428" s="24"/>
      <c r="T428" s="24"/>
      <c r="U428" s="24"/>
      <c r="V428" s="24"/>
      <c r="W428" s="24"/>
      <c r="X428" s="24"/>
      <c r="Y428" s="24"/>
      <c r="Z428" s="24"/>
      <c r="AA428" s="24"/>
      <c r="AB428" s="24"/>
    </row>
    <row r="429" spans="14:28" ht="15.75" customHeight="1">
      <c r="N429" s="24"/>
      <c r="O429" s="24"/>
      <c r="P429" s="24"/>
      <c r="Q429" s="24"/>
      <c r="R429" s="24"/>
      <c r="S429" s="24"/>
      <c r="T429" s="24"/>
      <c r="U429" s="24"/>
      <c r="V429" s="24"/>
      <c r="W429" s="24"/>
      <c r="X429" s="24"/>
      <c r="Y429" s="24"/>
      <c r="Z429" s="24"/>
      <c r="AA429" s="24"/>
      <c r="AB429" s="24"/>
    </row>
    <row r="430" spans="14:28" ht="15.75" customHeight="1">
      <c r="N430" s="24"/>
      <c r="O430" s="24"/>
      <c r="P430" s="24"/>
      <c r="Q430" s="24"/>
      <c r="R430" s="24"/>
      <c r="S430" s="24"/>
      <c r="T430" s="24"/>
      <c r="U430" s="24"/>
      <c r="V430" s="24"/>
      <c r="W430" s="24"/>
      <c r="X430" s="24"/>
      <c r="Y430" s="24"/>
      <c r="Z430" s="24"/>
      <c r="AA430" s="24"/>
      <c r="AB430" s="24"/>
    </row>
    <row r="431" spans="14:28" ht="15.75" customHeight="1">
      <c r="N431" s="24"/>
      <c r="O431" s="24"/>
      <c r="P431" s="24"/>
      <c r="Q431" s="24"/>
      <c r="R431" s="24"/>
      <c r="S431" s="24"/>
      <c r="T431" s="24"/>
      <c r="U431" s="24"/>
      <c r="V431" s="24"/>
      <c r="W431" s="24"/>
      <c r="X431" s="24"/>
      <c r="Y431" s="24"/>
      <c r="Z431" s="24"/>
      <c r="AA431" s="24"/>
      <c r="AB431" s="24"/>
    </row>
    <row r="432" spans="14:28" ht="15.75" customHeight="1">
      <c r="N432" s="24"/>
      <c r="O432" s="24"/>
      <c r="P432" s="24"/>
      <c r="Q432" s="24"/>
      <c r="R432" s="24"/>
      <c r="S432" s="24"/>
      <c r="T432" s="24"/>
      <c r="U432" s="24"/>
      <c r="V432" s="24"/>
      <c r="W432" s="24"/>
      <c r="X432" s="24"/>
      <c r="Y432" s="24"/>
      <c r="Z432" s="24"/>
      <c r="AA432" s="24"/>
      <c r="AB432" s="24"/>
    </row>
    <row r="433" spans="14:28" ht="15.75" customHeight="1">
      <c r="N433" s="24"/>
      <c r="O433" s="24"/>
      <c r="P433" s="24"/>
      <c r="Q433" s="24"/>
      <c r="R433" s="24"/>
      <c r="S433" s="24"/>
      <c r="T433" s="24"/>
      <c r="U433" s="24"/>
      <c r="V433" s="24"/>
      <c r="W433" s="24"/>
      <c r="X433" s="24"/>
      <c r="Y433" s="24"/>
      <c r="Z433" s="24"/>
      <c r="AA433" s="24"/>
      <c r="AB433" s="24"/>
    </row>
    <row r="434" spans="14:28" ht="15.75" customHeight="1">
      <c r="N434" s="24"/>
      <c r="O434" s="24"/>
      <c r="P434" s="24"/>
      <c r="Q434" s="24"/>
      <c r="R434" s="24"/>
      <c r="S434" s="24"/>
      <c r="T434" s="24"/>
      <c r="U434" s="24"/>
      <c r="V434" s="24"/>
      <c r="W434" s="24"/>
      <c r="X434" s="24"/>
      <c r="Y434" s="24"/>
      <c r="Z434" s="24"/>
      <c r="AA434" s="24"/>
      <c r="AB434" s="24"/>
    </row>
    <row r="435" spans="14:28" ht="15.75" customHeight="1">
      <c r="N435" s="24"/>
      <c r="O435" s="24"/>
      <c r="P435" s="24"/>
      <c r="Q435" s="24"/>
      <c r="R435" s="24"/>
      <c r="S435" s="24"/>
      <c r="T435" s="24"/>
      <c r="U435" s="24"/>
      <c r="V435" s="24"/>
      <c r="W435" s="24"/>
      <c r="X435" s="24"/>
      <c r="Y435" s="24"/>
      <c r="Z435" s="24"/>
      <c r="AA435" s="24"/>
      <c r="AB435" s="24"/>
    </row>
    <row r="436" spans="14:28" ht="15.75" customHeight="1">
      <c r="N436" s="24"/>
      <c r="O436" s="24"/>
      <c r="P436" s="24"/>
      <c r="Q436" s="24"/>
      <c r="R436" s="24"/>
      <c r="S436" s="24"/>
      <c r="T436" s="24"/>
      <c r="U436" s="24"/>
      <c r="V436" s="24"/>
      <c r="W436" s="24"/>
      <c r="X436" s="24"/>
      <c r="Y436" s="24"/>
      <c r="Z436" s="24"/>
      <c r="AA436" s="24"/>
      <c r="AB436" s="24"/>
    </row>
    <row r="437" spans="14:28" ht="15.75" customHeight="1">
      <c r="N437" s="24"/>
      <c r="O437" s="24"/>
      <c r="P437" s="24"/>
      <c r="Q437" s="24"/>
      <c r="R437" s="24"/>
      <c r="S437" s="24"/>
      <c r="T437" s="24"/>
      <c r="U437" s="24"/>
      <c r="V437" s="24"/>
      <c r="W437" s="24"/>
      <c r="X437" s="24"/>
      <c r="Y437" s="24"/>
      <c r="Z437" s="24"/>
      <c r="AA437" s="24"/>
      <c r="AB437" s="24"/>
    </row>
    <row r="438" spans="14:28" ht="15.75" customHeight="1">
      <c r="N438" s="24"/>
      <c r="O438" s="24"/>
      <c r="P438" s="24"/>
      <c r="Q438" s="24"/>
      <c r="R438" s="24"/>
      <c r="S438" s="24"/>
      <c r="T438" s="24"/>
      <c r="U438" s="24"/>
      <c r="V438" s="24"/>
      <c r="W438" s="24"/>
      <c r="X438" s="24"/>
      <c r="Y438" s="24"/>
      <c r="Z438" s="24"/>
      <c r="AA438" s="24"/>
      <c r="AB438" s="24"/>
    </row>
    <row r="439" spans="14:28" ht="15.75" customHeight="1">
      <c r="N439" s="24"/>
      <c r="O439" s="24"/>
      <c r="P439" s="24"/>
      <c r="Q439" s="24"/>
      <c r="R439" s="24"/>
      <c r="S439" s="24"/>
      <c r="T439" s="24"/>
      <c r="U439" s="24"/>
      <c r="V439" s="24"/>
      <c r="W439" s="24"/>
      <c r="X439" s="24"/>
      <c r="Y439" s="24"/>
      <c r="Z439" s="24"/>
      <c r="AA439" s="24"/>
      <c r="AB439" s="24"/>
    </row>
    <row r="440" spans="14:28" ht="15.75" customHeight="1">
      <c r="N440" s="24"/>
      <c r="O440" s="24"/>
      <c r="P440" s="24"/>
      <c r="Q440" s="24"/>
      <c r="R440" s="24"/>
      <c r="S440" s="24"/>
      <c r="T440" s="24"/>
      <c r="U440" s="24"/>
      <c r="V440" s="24"/>
      <c r="W440" s="24"/>
      <c r="X440" s="24"/>
      <c r="Y440" s="24"/>
      <c r="Z440" s="24"/>
      <c r="AA440" s="24"/>
      <c r="AB440" s="24"/>
    </row>
    <row r="441" spans="14:28" ht="15.75" customHeight="1">
      <c r="N441" s="24"/>
      <c r="O441" s="24"/>
      <c r="P441" s="24"/>
      <c r="Q441" s="24"/>
      <c r="R441" s="24"/>
      <c r="S441" s="24"/>
      <c r="T441" s="24"/>
      <c r="U441" s="24"/>
      <c r="V441" s="24"/>
      <c r="W441" s="24"/>
      <c r="X441" s="24"/>
      <c r="Y441" s="24"/>
      <c r="Z441" s="24"/>
      <c r="AA441" s="24"/>
      <c r="AB441" s="24"/>
    </row>
    <row r="442" spans="14:28" ht="15.75" customHeight="1">
      <c r="N442" s="24"/>
      <c r="O442" s="24"/>
      <c r="P442" s="24"/>
      <c r="Q442" s="24"/>
      <c r="R442" s="24"/>
      <c r="S442" s="24"/>
      <c r="T442" s="24"/>
      <c r="U442" s="24"/>
      <c r="V442" s="24"/>
      <c r="W442" s="24"/>
      <c r="X442" s="24"/>
      <c r="Y442" s="24"/>
      <c r="Z442" s="24"/>
      <c r="AA442" s="24"/>
      <c r="AB442" s="24"/>
    </row>
    <row r="443" spans="14:28" ht="15.75" customHeight="1">
      <c r="N443" s="24"/>
      <c r="O443" s="24"/>
      <c r="P443" s="24"/>
      <c r="Q443" s="24"/>
      <c r="R443" s="24"/>
      <c r="S443" s="24"/>
      <c r="T443" s="24"/>
      <c r="U443" s="24"/>
      <c r="V443" s="24"/>
      <c r="W443" s="24"/>
      <c r="X443" s="24"/>
      <c r="Y443" s="24"/>
      <c r="Z443" s="24"/>
      <c r="AA443" s="24"/>
      <c r="AB443" s="24"/>
    </row>
    <row r="444" spans="14:28" ht="15.75" customHeight="1">
      <c r="N444" s="24"/>
      <c r="O444" s="24"/>
      <c r="P444" s="24"/>
      <c r="Q444" s="24"/>
      <c r="R444" s="24"/>
      <c r="S444" s="24"/>
      <c r="T444" s="24"/>
      <c r="U444" s="24"/>
      <c r="V444" s="24"/>
      <c r="W444" s="24"/>
      <c r="X444" s="24"/>
      <c r="Y444" s="24"/>
      <c r="Z444" s="24"/>
      <c r="AA444" s="24"/>
      <c r="AB444" s="24"/>
    </row>
    <row r="445" spans="14:28" ht="15.75" customHeight="1">
      <c r="N445" s="24"/>
      <c r="O445" s="24"/>
      <c r="P445" s="24"/>
      <c r="Q445" s="24"/>
      <c r="R445" s="24"/>
      <c r="S445" s="24"/>
      <c r="T445" s="24"/>
      <c r="U445" s="24"/>
      <c r="V445" s="24"/>
      <c r="W445" s="24"/>
      <c r="X445" s="24"/>
      <c r="Y445" s="24"/>
      <c r="Z445" s="24"/>
      <c r="AA445" s="24"/>
      <c r="AB445" s="24"/>
    </row>
    <row r="446" spans="14:28" ht="15.75" customHeight="1">
      <c r="N446" s="24"/>
      <c r="O446" s="24"/>
      <c r="P446" s="24"/>
      <c r="Q446" s="24"/>
      <c r="R446" s="24"/>
      <c r="S446" s="24"/>
      <c r="T446" s="24"/>
      <c r="U446" s="24"/>
      <c r="V446" s="24"/>
      <c r="W446" s="24"/>
      <c r="X446" s="24"/>
      <c r="Y446" s="24"/>
      <c r="Z446" s="24"/>
      <c r="AA446" s="24"/>
      <c r="AB446" s="24"/>
    </row>
    <row r="447" spans="14:28" ht="15.75" customHeight="1">
      <c r="N447" s="24"/>
      <c r="O447" s="24"/>
      <c r="P447" s="24"/>
      <c r="Q447" s="24"/>
      <c r="R447" s="24"/>
      <c r="S447" s="24"/>
      <c r="T447" s="24"/>
      <c r="U447" s="24"/>
      <c r="V447" s="24"/>
      <c r="W447" s="24"/>
      <c r="X447" s="24"/>
      <c r="Y447" s="24"/>
      <c r="Z447" s="24"/>
      <c r="AA447" s="24"/>
      <c r="AB447" s="24"/>
    </row>
    <row r="448" spans="14:28" ht="15.75" customHeight="1">
      <c r="N448" s="24"/>
      <c r="O448" s="24"/>
      <c r="P448" s="24"/>
      <c r="Q448" s="24"/>
      <c r="R448" s="24"/>
      <c r="S448" s="24"/>
      <c r="T448" s="24"/>
      <c r="U448" s="24"/>
      <c r="V448" s="24"/>
      <c r="W448" s="24"/>
      <c r="X448" s="24"/>
      <c r="Y448" s="24"/>
      <c r="Z448" s="24"/>
      <c r="AA448" s="24"/>
      <c r="AB448" s="24"/>
    </row>
    <row r="449" spans="14:28" ht="15.75" customHeight="1">
      <c r="N449" s="24"/>
      <c r="O449" s="24"/>
      <c r="P449" s="24"/>
      <c r="Q449" s="24"/>
      <c r="R449" s="24"/>
      <c r="S449" s="24"/>
      <c r="T449" s="24"/>
      <c r="U449" s="24"/>
      <c r="V449" s="24"/>
      <c r="W449" s="24"/>
      <c r="X449" s="24"/>
      <c r="Y449" s="24"/>
      <c r="Z449" s="24"/>
      <c r="AA449" s="24"/>
      <c r="AB449" s="24"/>
    </row>
    <row r="450" spans="14:28" ht="15.75" customHeight="1">
      <c r="N450" s="24"/>
      <c r="O450" s="24"/>
      <c r="P450" s="24"/>
      <c r="Q450" s="24"/>
      <c r="R450" s="24"/>
      <c r="S450" s="24"/>
      <c r="T450" s="24"/>
      <c r="U450" s="24"/>
      <c r="V450" s="24"/>
      <c r="W450" s="24"/>
      <c r="X450" s="24"/>
      <c r="Y450" s="24"/>
      <c r="Z450" s="24"/>
      <c r="AA450" s="24"/>
      <c r="AB450" s="24"/>
    </row>
    <row r="451" spans="14:28" ht="15.75" customHeight="1">
      <c r="N451" s="24"/>
      <c r="O451" s="24"/>
      <c r="P451" s="24"/>
      <c r="Q451" s="24"/>
      <c r="R451" s="24"/>
      <c r="S451" s="24"/>
      <c r="T451" s="24"/>
      <c r="U451" s="24"/>
      <c r="V451" s="24"/>
      <c r="W451" s="24"/>
      <c r="X451" s="24"/>
      <c r="Y451" s="24"/>
      <c r="Z451" s="24"/>
      <c r="AA451" s="24"/>
      <c r="AB451" s="24"/>
    </row>
    <row r="452" spans="14:28" ht="15.75" customHeight="1">
      <c r="N452" s="24"/>
      <c r="O452" s="24"/>
      <c r="P452" s="24"/>
      <c r="Q452" s="24"/>
      <c r="R452" s="24"/>
      <c r="S452" s="24"/>
      <c r="T452" s="24"/>
      <c r="U452" s="24"/>
      <c r="V452" s="24"/>
      <c r="W452" s="24"/>
      <c r="X452" s="24"/>
      <c r="Y452" s="24"/>
      <c r="Z452" s="24"/>
      <c r="AA452" s="24"/>
      <c r="AB452" s="24"/>
    </row>
    <row r="453" spans="14:28" ht="15.75" customHeight="1">
      <c r="N453" s="24"/>
      <c r="O453" s="24"/>
      <c r="P453" s="24"/>
      <c r="Q453" s="24"/>
      <c r="R453" s="24"/>
      <c r="S453" s="24"/>
      <c r="T453" s="24"/>
      <c r="U453" s="24"/>
      <c r="V453" s="24"/>
      <c r="W453" s="24"/>
      <c r="X453" s="24"/>
      <c r="Y453" s="24"/>
      <c r="Z453" s="24"/>
      <c r="AA453" s="24"/>
      <c r="AB453" s="24"/>
    </row>
    <row r="454" spans="14:28" ht="15.75" customHeight="1">
      <c r="N454" s="24"/>
      <c r="O454" s="24"/>
      <c r="P454" s="24"/>
      <c r="Q454" s="24"/>
      <c r="R454" s="24"/>
      <c r="S454" s="24"/>
      <c r="T454" s="24"/>
      <c r="U454" s="24"/>
      <c r="V454" s="24"/>
      <c r="W454" s="24"/>
      <c r="X454" s="24"/>
      <c r="Y454" s="24"/>
      <c r="Z454" s="24"/>
      <c r="AA454" s="24"/>
      <c r="AB454" s="24"/>
    </row>
    <row r="455" spans="14:28" ht="15.75" customHeight="1">
      <c r="N455" s="24"/>
      <c r="O455" s="24"/>
      <c r="P455" s="24"/>
      <c r="Q455" s="24"/>
      <c r="R455" s="24"/>
      <c r="S455" s="24"/>
      <c r="T455" s="24"/>
      <c r="U455" s="24"/>
      <c r="V455" s="24"/>
      <c r="W455" s="24"/>
      <c r="X455" s="24"/>
      <c r="Y455" s="24"/>
      <c r="Z455" s="24"/>
      <c r="AA455" s="24"/>
      <c r="AB455" s="24"/>
    </row>
    <row r="456" spans="14:28" ht="15.75" customHeight="1">
      <c r="N456" s="24"/>
      <c r="O456" s="24"/>
      <c r="P456" s="24"/>
      <c r="Q456" s="24"/>
      <c r="R456" s="24"/>
      <c r="S456" s="24"/>
      <c r="T456" s="24"/>
      <c r="U456" s="24"/>
      <c r="V456" s="24"/>
      <c r="W456" s="24"/>
      <c r="X456" s="24"/>
      <c r="Y456" s="24"/>
      <c r="Z456" s="24"/>
      <c r="AA456" s="24"/>
      <c r="AB456" s="24"/>
    </row>
    <row r="457" spans="14:28" ht="15.75" customHeight="1">
      <c r="N457" s="24"/>
      <c r="O457" s="24"/>
      <c r="P457" s="24"/>
      <c r="Q457" s="24"/>
      <c r="R457" s="24"/>
      <c r="S457" s="24"/>
      <c r="T457" s="24"/>
      <c r="U457" s="24"/>
      <c r="V457" s="24"/>
      <c r="W457" s="24"/>
      <c r="X457" s="24"/>
      <c r="Y457" s="24"/>
      <c r="Z457" s="24"/>
      <c r="AA457" s="24"/>
      <c r="AB457" s="24"/>
    </row>
    <row r="458" spans="14:28" ht="15.75" customHeight="1">
      <c r="N458" s="24"/>
      <c r="O458" s="24"/>
      <c r="P458" s="24"/>
      <c r="Q458" s="24"/>
      <c r="R458" s="24"/>
      <c r="S458" s="24"/>
      <c r="T458" s="24"/>
      <c r="U458" s="24"/>
      <c r="V458" s="24"/>
      <c r="W458" s="24"/>
      <c r="X458" s="24"/>
      <c r="Y458" s="24"/>
      <c r="Z458" s="24"/>
      <c r="AA458" s="24"/>
      <c r="AB458" s="24"/>
    </row>
    <row r="459" spans="14:28" ht="15.75" customHeight="1">
      <c r="N459" s="24"/>
      <c r="O459" s="24"/>
      <c r="P459" s="24"/>
      <c r="Q459" s="24"/>
      <c r="R459" s="24"/>
      <c r="S459" s="24"/>
      <c r="T459" s="24"/>
      <c r="U459" s="24"/>
      <c r="V459" s="24"/>
      <c r="W459" s="24"/>
      <c r="X459" s="24"/>
      <c r="Y459" s="24"/>
      <c r="Z459" s="24"/>
      <c r="AA459" s="24"/>
      <c r="AB459" s="24"/>
    </row>
    <row r="460" spans="14:28" ht="15.75" customHeight="1">
      <c r="N460" s="24"/>
      <c r="O460" s="24"/>
      <c r="P460" s="24"/>
      <c r="Q460" s="24"/>
      <c r="R460" s="24"/>
      <c r="S460" s="24"/>
      <c r="T460" s="24"/>
      <c r="U460" s="24"/>
      <c r="V460" s="24"/>
      <c r="W460" s="24"/>
      <c r="X460" s="24"/>
      <c r="Y460" s="24"/>
      <c r="Z460" s="24"/>
      <c r="AA460" s="24"/>
      <c r="AB460" s="24"/>
    </row>
    <row r="461" spans="14:28" ht="15.75" customHeight="1">
      <c r="N461" s="24"/>
      <c r="O461" s="24"/>
      <c r="P461" s="24"/>
      <c r="Q461" s="24"/>
      <c r="R461" s="24"/>
      <c r="S461" s="24"/>
      <c r="T461" s="24"/>
      <c r="U461" s="24"/>
      <c r="V461" s="24"/>
      <c r="W461" s="24"/>
      <c r="X461" s="24"/>
      <c r="Y461" s="24"/>
      <c r="Z461" s="24"/>
      <c r="AA461" s="24"/>
      <c r="AB461" s="24"/>
    </row>
    <row r="462" spans="14:28" ht="15.75" customHeight="1">
      <c r="N462" s="24"/>
      <c r="O462" s="24"/>
      <c r="P462" s="24"/>
      <c r="Q462" s="24"/>
      <c r="R462" s="24"/>
      <c r="S462" s="24"/>
      <c r="T462" s="24"/>
      <c r="U462" s="24"/>
      <c r="V462" s="24"/>
      <c r="W462" s="24"/>
      <c r="X462" s="24"/>
      <c r="Y462" s="24"/>
      <c r="Z462" s="24"/>
      <c r="AA462" s="24"/>
      <c r="AB462" s="24"/>
    </row>
    <row r="463" spans="14:28" ht="15.75" customHeight="1">
      <c r="N463" s="24"/>
      <c r="O463" s="24"/>
      <c r="P463" s="24"/>
      <c r="Q463" s="24"/>
      <c r="R463" s="24"/>
      <c r="S463" s="24"/>
      <c r="T463" s="24"/>
      <c r="U463" s="24"/>
      <c r="V463" s="24"/>
      <c r="W463" s="24"/>
      <c r="X463" s="24"/>
      <c r="Y463" s="24"/>
      <c r="Z463" s="24"/>
      <c r="AA463" s="24"/>
      <c r="AB463" s="24"/>
    </row>
    <row r="464" spans="14:28" ht="15.75" customHeight="1">
      <c r="N464" s="24"/>
      <c r="O464" s="24"/>
      <c r="P464" s="24"/>
      <c r="Q464" s="24"/>
      <c r="R464" s="24"/>
      <c r="S464" s="24"/>
      <c r="T464" s="24"/>
      <c r="U464" s="24"/>
      <c r="V464" s="24"/>
      <c r="W464" s="24"/>
      <c r="X464" s="24"/>
      <c r="Y464" s="24"/>
      <c r="Z464" s="24"/>
      <c r="AA464" s="24"/>
      <c r="AB464" s="24"/>
    </row>
    <row r="465" spans="14:28" ht="15.75" customHeight="1">
      <c r="N465" s="24"/>
      <c r="O465" s="24"/>
      <c r="P465" s="24"/>
      <c r="Q465" s="24"/>
      <c r="R465" s="24"/>
      <c r="S465" s="24"/>
      <c r="T465" s="24"/>
      <c r="U465" s="24"/>
      <c r="V465" s="24"/>
      <c r="W465" s="24"/>
      <c r="X465" s="24"/>
      <c r="Y465" s="24"/>
      <c r="Z465" s="24"/>
      <c r="AA465" s="24"/>
      <c r="AB465" s="24"/>
    </row>
    <row r="466" spans="14:28" ht="15.75" customHeight="1">
      <c r="N466" s="24"/>
      <c r="O466" s="24"/>
      <c r="P466" s="24"/>
      <c r="Q466" s="24"/>
      <c r="R466" s="24"/>
      <c r="S466" s="24"/>
      <c r="T466" s="24"/>
      <c r="U466" s="24"/>
      <c r="V466" s="24"/>
      <c r="W466" s="24"/>
      <c r="X466" s="24"/>
      <c r="Y466" s="24"/>
      <c r="Z466" s="24"/>
      <c r="AA466" s="24"/>
      <c r="AB466" s="24"/>
    </row>
    <row r="467" spans="14:28" ht="15.75" customHeight="1">
      <c r="N467" s="24"/>
      <c r="O467" s="24"/>
      <c r="P467" s="24"/>
      <c r="Q467" s="24"/>
      <c r="R467" s="24"/>
      <c r="S467" s="24"/>
      <c r="T467" s="24"/>
      <c r="U467" s="24"/>
      <c r="V467" s="24"/>
      <c r="W467" s="24"/>
      <c r="X467" s="24"/>
      <c r="Y467" s="24"/>
      <c r="Z467" s="24"/>
      <c r="AA467" s="24"/>
      <c r="AB467" s="24"/>
    </row>
    <row r="468" spans="14:28" ht="15.75" customHeight="1">
      <c r="N468" s="24"/>
      <c r="O468" s="24"/>
      <c r="P468" s="24"/>
      <c r="Q468" s="24"/>
      <c r="R468" s="24"/>
      <c r="S468" s="24"/>
      <c r="T468" s="24"/>
      <c r="U468" s="24"/>
      <c r="V468" s="24"/>
      <c r="W468" s="24"/>
      <c r="X468" s="24"/>
      <c r="Y468" s="24"/>
      <c r="Z468" s="24"/>
      <c r="AA468" s="24"/>
      <c r="AB468" s="24"/>
    </row>
    <row r="469" spans="14:28" ht="15.75" customHeight="1">
      <c r="N469" s="24"/>
      <c r="O469" s="24"/>
      <c r="P469" s="24"/>
      <c r="Q469" s="24"/>
      <c r="R469" s="24"/>
      <c r="S469" s="24"/>
      <c r="T469" s="24"/>
      <c r="U469" s="24"/>
      <c r="V469" s="24"/>
      <c r="W469" s="24"/>
      <c r="X469" s="24"/>
      <c r="Y469" s="24"/>
      <c r="Z469" s="24"/>
      <c r="AA469" s="24"/>
      <c r="AB469" s="24"/>
    </row>
    <row r="470" spans="14:28" ht="15.75" customHeight="1">
      <c r="N470" s="24"/>
      <c r="O470" s="24"/>
      <c r="P470" s="24"/>
      <c r="Q470" s="24"/>
      <c r="R470" s="24"/>
      <c r="S470" s="24"/>
      <c r="T470" s="24"/>
      <c r="U470" s="24"/>
      <c r="V470" s="24"/>
      <c r="W470" s="24"/>
      <c r="X470" s="24"/>
      <c r="Y470" s="24"/>
      <c r="Z470" s="24"/>
      <c r="AA470" s="24"/>
      <c r="AB470" s="24"/>
    </row>
    <row r="471" spans="14:28" ht="15.75" customHeight="1">
      <c r="N471" s="24"/>
      <c r="O471" s="24"/>
      <c r="P471" s="24"/>
      <c r="Q471" s="24"/>
      <c r="R471" s="24"/>
      <c r="S471" s="24"/>
      <c r="T471" s="24"/>
      <c r="U471" s="24"/>
      <c r="V471" s="24"/>
      <c r="W471" s="24"/>
      <c r="X471" s="24"/>
      <c r="Y471" s="24"/>
      <c r="Z471" s="24"/>
      <c r="AA471" s="24"/>
      <c r="AB471" s="24"/>
    </row>
    <row r="472" spans="14:28" ht="15.75" customHeight="1">
      <c r="N472" s="24"/>
      <c r="O472" s="24"/>
      <c r="P472" s="24"/>
      <c r="Q472" s="24"/>
      <c r="R472" s="24"/>
      <c r="S472" s="24"/>
      <c r="T472" s="24"/>
      <c r="U472" s="24"/>
      <c r="V472" s="24"/>
      <c r="W472" s="24"/>
      <c r="X472" s="24"/>
      <c r="Y472" s="24"/>
      <c r="Z472" s="24"/>
      <c r="AA472" s="24"/>
      <c r="AB472" s="24"/>
    </row>
    <row r="473" spans="14:28" ht="15.75" customHeight="1">
      <c r="N473" s="24"/>
      <c r="O473" s="24"/>
      <c r="P473" s="24"/>
      <c r="Q473" s="24"/>
      <c r="R473" s="24"/>
      <c r="S473" s="24"/>
      <c r="T473" s="24"/>
      <c r="U473" s="24"/>
      <c r="V473" s="24"/>
      <c r="W473" s="24"/>
      <c r="X473" s="24"/>
      <c r="Y473" s="24"/>
      <c r="Z473" s="24"/>
      <c r="AA473" s="24"/>
      <c r="AB473" s="24"/>
    </row>
    <row r="474" spans="14:28" ht="15.75" customHeight="1">
      <c r="N474" s="24"/>
      <c r="O474" s="24"/>
      <c r="P474" s="24"/>
      <c r="Q474" s="24"/>
      <c r="R474" s="24"/>
      <c r="S474" s="24"/>
      <c r="T474" s="24"/>
      <c r="U474" s="24"/>
      <c r="V474" s="24"/>
      <c r="W474" s="24"/>
      <c r="X474" s="24"/>
      <c r="Y474" s="24"/>
      <c r="Z474" s="24"/>
      <c r="AA474" s="24"/>
      <c r="AB474" s="24"/>
    </row>
    <row r="475" spans="14:28" ht="15.75" customHeight="1">
      <c r="N475" s="24"/>
      <c r="O475" s="24"/>
      <c r="P475" s="24"/>
      <c r="Q475" s="24"/>
      <c r="R475" s="24"/>
      <c r="S475" s="24"/>
      <c r="T475" s="24"/>
      <c r="U475" s="24"/>
      <c r="V475" s="24"/>
      <c r="W475" s="24"/>
      <c r="X475" s="24"/>
      <c r="Y475" s="24"/>
      <c r="Z475" s="24"/>
      <c r="AA475" s="24"/>
      <c r="AB475" s="24"/>
    </row>
    <row r="476" spans="14:28" ht="15.75" customHeight="1">
      <c r="N476" s="24"/>
      <c r="O476" s="24"/>
      <c r="P476" s="24"/>
      <c r="Q476" s="24"/>
      <c r="R476" s="24"/>
      <c r="S476" s="24"/>
      <c r="T476" s="24"/>
      <c r="U476" s="24"/>
      <c r="V476" s="24"/>
      <c r="W476" s="24"/>
      <c r="X476" s="24"/>
      <c r="Y476" s="24"/>
      <c r="Z476" s="24"/>
      <c r="AA476" s="24"/>
      <c r="AB476" s="24"/>
    </row>
    <row r="477" spans="14:28" ht="15.75" customHeight="1">
      <c r="N477" s="24"/>
      <c r="O477" s="24"/>
      <c r="P477" s="24"/>
      <c r="Q477" s="24"/>
      <c r="R477" s="24"/>
      <c r="S477" s="24"/>
      <c r="T477" s="24"/>
      <c r="U477" s="24"/>
      <c r="V477" s="24"/>
      <c r="W477" s="24"/>
      <c r="X477" s="24"/>
      <c r="Y477" s="24"/>
      <c r="Z477" s="24"/>
      <c r="AA477" s="24"/>
      <c r="AB477" s="24"/>
    </row>
    <row r="478" spans="14:28" ht="15.75" customHeight="1">
      <c r="N478" s="24"/>
      <c r="O478" s="24"/>
      <c r="P478" s="24"/>
      <c r="Q478" s="24"/>
      <c r="R478" s="24"/>
      <c r="S478" s="24"/>
      <c r="T478" s="24"/>
      <c r="U478" s="24"/>
      <c r="V478" s="24"/>
      <c r="W478" s="24"/>
      <c r="X478" s="24"/>
      <c r="Y478" s="24"/>
      <c r="Z478" s="24"/>
      <c r="AA478" s="24"/>
      <c r="AB478" s="24"/>
    </row>
    <row r="479" spans="14:28" ht="15.75" customHeight="1">
      <c r="N479" s="24"/>
      <c r="O479" s="24"/>
      <c r="P479" s="24"/>
      <c r="Q479" s="24"/>
      <c r="R479" s="24"/>
      <c r="S479" s="24"/>
      <c r="T479" s="24"/>
      <c r="U479" s="24"/>
      <c r="V479" s="24"/>
      <c r="W479" s="24"/>
      <c r="X479" s="24"/>
      <c r="Y479" s="24"/>
      <c r="Z479" s="24"/>
      <c r="AA479" s="24"/>
      <c r="AB479" s="24"/>
    </row>
    <row r="480" spans="14:28" ht="15.75" customHeight="1">
      <c r="N480" s="24"/>
      <c r="O480" s="24"/>
      <c r="P480" s="24"/>
      <c r="Q480" s="24"/>
      <c r="R480" s="24"/>
      <c r="S480" s="24"/>
      <c r="T480" s="24"/>
      <c r="U480" s="24"/>
      <c r="V480" s="24"/>
      <c r="W480" s="24"/>
      <c r="X480" s="24"/>
      <c r="Y480" s="24"/>
      <c r="Z480" s="24"/>
      <c r="AA480" s="24"/>
      <c r="AB480" s="24"/>
    </row>
    <row r="481" spans="14:28" ht="15.75" customHeight="1">
      <c r="N481" s="24"/>
      <c r="O481" s="24"/>
      <c r="P481" s="24"/>
      <c r="Q481" s="24"/>
      <c r="R481" s="24"/>
      <c r="S481" s="24"/>
      <c r="T481" s="24"/>
      <c r="U481" s="24"/>
      <c r="V481" s="24"/>
      <c r="W481" s="24"/>
      <c r="X481" s="24"/>
      <c r="Y481" s="24"/>
      <c r="Z481" s="24"/>
      <c r="AA481" s="24"/>
      <c r="AB481" s="24"/>
    </row>
    <row r="482" spans="14:28" ht="15.75" customHeight="1">
      <c r="N482" s="24"/>
      <c r="O482" s="24"/>
      <c r="P482" s="24"/>
      <c r="Q482" s="24"/>
      <c r="R482" s="24"/>
      <c r="S482" s="24"/>
      <c r="T482" s="24"/>
      <c r="U482" s="24"/>
      <c r="V482" s="24"/>
      <c r="W482" s="24"/>
      <c r="X482" s="24"/>
      <c r="Y482" s="24"/>
      <c r="Z482" s="24"/>
      <c r="AA482" s="24"/>
      <c r="AB482" s="24"/>
    </row>
    <row r="483" spans="14:28" ht="15.75" customHeight="1">
      <c r="N483" s="24"/>
      <c r="O483" s="24"/>
      <c r="P483" s="24"/>
      <c r="Q483" s="24"/>
      <c r="R483" s="24"/>
      <c r="S483" s="24"/>
      <c r="T483" s="24"/>
      <c r="U483" s="24"/>
      <c r="V483" s="24"/>
      <c r="W483" s="24"/>
      <c r="X483" s="24"/>
      <c r="Y483" s="24"/>
      <c r="Z483" s="24"/>
      <c r="AA483" s="24"/>
      <c r="AB483" s="24"/>
    </row>
    <row r="484" spans="14:28" ht="15.75" customHeight="1">
      <c r="N484" s="24"/>
      <c r="O484" s="24"/>
      <c r="P484" s="24"/>
      <c r="Q484" s="24"/>
      <c r="R484" s="24"/>
      <c r="S484" s="24"/>
      <c r="T484" s="24"/>
      <c r="U484" s="24"/>
      <c r="V484" s="24"/>
      <c r="W484" s="24"/>
      <c r="X484" s="24"/>
      <c r="Y484" s="24"/>
      <c r="Z484" s="24"/>
      <c r="AA484" s="24"/>
      <c r="AB484" s="24"/>
    </row>
    <row r="485" spans="14:28" ht="15.75" customHeight="1">
      <c r="N485" s="24"/>
      <c r="O485" s="24"/>
      <c r="P485" s="24"/>
      <c r="Q485" s="24"/>
      <c r="R485" s="24"/>
      <c r="S485" s="24"/>
      <c r="T485" s="24"/>
      <c r="U485" s="24"/>
      <c r="V485" s="24"/>
      <c r="W485" s="24"/>
      <c r="X485" s="24"/>
      <c r="Y485" s="24"/>
      <c r="Z485" s="24"/>
      <c r="AA485" s="24"/>
      <c r="AB485" s="24"/>
    </row>
    <row r="486" spans="14:28" ht="15.75" customHeight="1">
      <c r="N486" s="24"/>
      <c r="O486" s="24"/>
      <c r="P486" s="24"/>
      <c r="Q486" s="24"/>
      <c r="R486" s="24"/>
      <c r="S486" s="24"/>
      <c r="T486" s="24"/>
      <c r="U486" s="24"/>
      <c r="V486" s="24"/>
      <c r="W486" s="24"/>
      <c r="X486" s="24"/>
      <c r="Y486" s="24"/>
      <c r="Z486" s="24"/>
      <c r="AA486" s="24"/>
      <c r="AB486" s="24"/>
    </row>
    <row r="487" spans="14:28" ht="15.75" customHeight="1">
      <c r="N487" s="24"/>
      <c r="O487" s="24"/>
      <c r="P487" s="24"/>
      <c r="Q487" s="24"/>
      <c r="R487" s="24"/>
      <c r="S487" s="24"/>
      <c r="T487" s="24"/>
      <c r="U487" s="24"/>
      <c r="V487" s="24"/>
      <c r="W487" s="24"/>
      <c r="X487" s="24"/>
      <c r="Y487" s="24"/>
      <c r="Z487" s="24"/>
      <c r="AA487" s="24"/>
      <c r="AB487" s="24"/>
    </row>
    <row r="488" spans="14:28" ht="15.75" customHeight="1">
      <c r="N488" s="24"/>
      <c r="O488" s="24"/>
      <c r="P488" s="24"/>
      <c r="Q488" s="24"/>
      <c r="R488" s="24"/>
      <c r="S488" s="24"/>
      <c r="T488" s="24"/>
      <c r="U488" s="24"/>
      <c r="V488" s="24"/>
      <c r="W488" s="24"/>
      <c r="X488" s="24"/>
      <c r="Y488" s="24"/>
      <c r="Z488" s="24"/>
      <c r="AA488" s="24"/>
      <c r="AB488" s="24"/>
    </row>
    <row r="489" spans="14:28" ht="15.75" customHeight="1">
      <c r="N489" s="24"/>
      <c r="O489" s="24"/>
      <c r="P489" s="24"/>
      <c r="Q489" s="24"/>
      <c r="R489" s="24"/>
      <c r="S489" s="24"/>
      <c r="T489" s="24"/>
      <c r="U489" s="24"/>
      <c r="V489" s="24"/>
      <c r="W489" s="24"/>
      <c r="X489" s="24"/>
      <c r="Y489" s="24"/>
      <c r="Z489" s="24"/>
      <c r="AA489" s="24"/>
      <c r="AB489" s="24"/>
    </row>
    <row r="490" spans="14:28" ht="15.75" customHeight="1">
      <c r="N490" s="24"/>
      <c r="O490" s="24"/>
      <c r="P490" s="24"/>
      <c r="Q490" s="24"/>
      <c r="R490" s="24"/>
      <c r="S490" s="24"/>
      <c r="T490" s="24"/>
      <c r="U490" s="24"/>
      <c r="V490" s="24"/>
      <c r="W490" s="24"/>
      <c r="X490" s="24"/>
      <c r="Y490" s="24"/>
      <c r="Z490" s="24"/>
      <c r="AA490" s="24"/>
      <c r="AB490" s="24"/>
    </row>
    <row r="491" spans="14:28" ht="15.75" customHeight="1">
      <c r="N491" s="24"/>
      <c r="O491" s="24"/>
      <c r="P491" s="24"/>
      <c r="Q491" s="24"/>
      <c r="R491" s="24"/>
      <c r="S491" s="24"/>
      <c r="T491" s="24"/>
      <c r="U491" s="24"/>
      <c r="V491" s="24"/>
      <c r="W491" s="24"/>
      <c r="X491" s="24"/>
      <c r="Y491" s="24"/>
      <c r="Z491" s="24"/>
      <c r="AA491" s="24"/>
      <c r="AB491" s="24"/>
    </row>
    <row r="492" spans="14:28" ht="15.75" customHeight="1">
      <c r="N492" s="24"/>
      <c r="O492" s="24"/>
      <c r="P492" s="24"/>
      <c r="Q492" s="24"/>
      <c r="R492" s="24"/>
      <c r="S492" s="24"/>
      <c r="T492" s="24"/>
      <c r="U492" s="24"/>
      <c r="V492" s="24"/>
      <c r="W492" s="24"/>
      <c r="X492" s="24"/>
      <c r="Y492" s="24"/>
      <c r="Z492" s="24"/>
      <c r="AA492" s="24"/>
      <c r="AB492" s="24"/>
    </row>
    <row r="493" spans="14:28" ht="15.75" customHeight="1">
      <c r="N493" s="24"/>
      <c r="O493" s="24"/>
      <c r="P493" s="24"/>
      <c r="Q493" s="24"/>
      <c r="R493" s="24"/>
      <c r="S493" s="24"/>
      <c r="T493" s="24"/>
      <c r="U493" s="24"/>
      <c r="V493" s="24"/>
      <c r="W493" s="24"/>
      <c r="X493" s="24"/>
      <c r="Y493" s="24"/>
      <c r="Z493" s="24"/>
      <c r="AA493" s="24"/>
      <c r="AB493" s="24"/>
    </row>
    <row r="494" spans="14:28" ht="15.75" customHeight="1">
      <c r="N494" s="24"/>
      <c r="O494" s="24"/>
      <c r="P494" s="24"/>
      <c r="Q494" s="24"/>
      <c r="R494" s="24"/>
      <c r="S494" s="24"/>
      <c r="T494" s="24"/>
      <c r="U494" s="24"/>
      <c r="V494" s="24"/>
      <c r="W494" s="24"/>
      <c r="X494" s="24"/>
      <c r="Y494" s="24"/>
      <c r="Z494" s="24"/>
      <c r="AA494" s="24"/>
      <c r="AB494" s="24"/>
    </row>
    <row r="495" spans="14:28" ht="15.75" customHeight="1">
      <c r="N495" s="24"/>
      <c r="O495" s="24"/>
      <c r="P495" s="24"/>
      <c r="Q495" s="24"/>
      <c r="R495" s="24"/>
      <c r="S495" s="24"/>
      <c r="T495" s="24"/>
      <c r="U495" s="24"/>
      <c r="V495" s="24"/>
      <c r="W495" s="24"/>
      <c r="X495" s="24"/>
      <c r="Y495" s="24"/>
      <c r="Z495" s="24"/>
      <c r="AA495" s="24"/>
      <c r="AB495" s="24"/>
    </row>
    <row r="496" spans="14:28" ht="15.75" customHeight="1">
      <c r="N496" s="24"/>
      <c r="O496" s="24"/>
      <c r="P496" s="24"/>
      <c r="Q496" s="24"/>
      <c r="R496" s="24"/>
      <c r="S496" s="24"/>
      <c r="T496" s="24"/>
      <c r="U496" s="24"/>
      <c r="V496" s="24"/>
      <c r="W496" s="24"/>
      <c r="X496" s="24"/>
      <c r="Y496" s="24"/>
      <c r="Z496" s="24"/>
      <c r="AA496" s="24"/>
      <c r="AB496" s="24"/>
    </row>
    <row r="497" spans="14:28" ht="15.75" customHeight="1">
      <c r="N497" s="24"/>
      <c r="O497" s="24"/>
      <c r="P497" s="24"/>
      <c r="Q497" s="24"/>
      <c r="R497" s="24"/>
      <c r="S497" s="24"/>
      <c r="T497" s="24"/>
      <c r="U497" s="24"/>
      <c r="V497" s="24"/>
      <c r="W497" s="24"/>
      <c r="X497" s="24"/>
      <c r="Y497" s="24"/>
      <c r="Z497" s="24"/>
      <c r="AA497" s="24"/>
      <c r="AB497" s="24"/>
    </row>
    <row r="498" spans="14:28" ht="15.75" customHeight="1">
      <c r="N498" s="24"/>
      <c r="O498" s="24"/>
      <c r="P498" s="24"/>
      <c r="Q498" s="24"/>
      <c r="R498" s="24"/>
      <c r="S498" s="24"/>
      <c r="T498" s="24"/>
      <c r="U498" s="24"/>
      <c r="V498" s="24"/>
      <c r="W498" s="24"/>
      <c r="X498" s="24"/>
      <c r="Y498" s="24"/>
      <c r="Z498" s="24"/>
      <c r="AA498" s="24"/>
      <c r="AB498" s="24"/>
    </row>
    <row r="499" spans="14:28" ht="15.75" customHeight="1">
      <c r="N499" s="24"/>
      <c r="O499" s="24"/>
      <c r="P499" s="24"/>
      <c r="Q499" s="24"/>
      <c r="R499" s="24"/>
      <c r="S499" s="24"/>
      <c r="T499" s="24"/>
      <c r="U499" s="24"/>
      <c r="V499" s="24"/>
      <c r="W499" s="24"/>
      <c r="X499" s="24"/>
      <c r="Y499" s="24"/>
      <c r="Z499" s="24"/>
      <c r="AA499" s="24"/>
      <c r="AB499" s="24"/>
    </row>
    <row r="500" spans="14:28" ht="15.75" customHeight="1">
      <c r="N500" s="24"/>
      <c r="O500" s="24"/>
      <c r="P500" s="24"/>
      <c r="Q500" s="24"/>
      <c r="R500" s="24"/>
      <c r="S500" s="24"/>
      <c r="T500" s="24"/>
      <c r="U500" s="24"/>
      <c r="V500" s="24"/>
      <c r="W500" s="24"/>
      <c r="X500" s="24"/>
      <c r="Y500" s="24"/>
      <c r="Z500" s="24"/>
      <c r="AA500" s="24"/>
      <c r="AB500" s="24"/>
    </row>
    <row r="501" spans="14:28" ht="15.75" customHeight="1">
      <c r="N501" s="24"/>
      <c r="O501" s="24"/>
      <c r="P501" s="24"/>
      <c r="Q501" s="24"/>
      <c r="R501" s="24"/>
      <c r="S501" s="24"/>
      <c r="T501" s="24"/>
      <c r="U501" s="24"/>
      <c r="V501" s="24"/>
      <c r="W501" s="24"/>
      <c r="X501" s="24"/>
      <c r="Y501" s="24"/>
      <c r="Z501" s="24"/>
      <c r="AA501" s="24"/>
      <c r="AB501" s="24"/>
    </row>
    <row r="502" spans="14:28" ht="15.75" customHeight="1">
      <c r="N502" s="24"/>
      <c r="O502" s="24"/>
      <c r="P502" s="24"/>
      <c r="Q502" s="24"/>
      <c r="R502" s="24"/>
      <c r="S502" s="24"/>
      <c r="T502" s="24"/>
      <c r="U502" s="24"/>
      <c r="V502" s="24"/>
      <c r="W502" s="24"/>
      <c r="X502" s="24"/>
      <c r="Y502" s="24"/>
      <c r="Z502" s="24"/>
      <c r="AA502" s="24"/>
      <c r="AB502" s="24"/>
    </row>
    <row r="503" spans="14:28" ht="15.75" customHeight="1">
      <c r="N503" s="24"/>
      <c r="O503" s="24"/>
      <c r="P503" s="24"/>
      <c r="Q503" s="24"/>
      <c r="R503" s="24"/>
      <c r="S503" s="24"/>
      <c r="T503" s="24"/>
      <c r="U503" s="24"/>
      <c r="V503" s="24"/>
      <c r="W503" s="24"/>
      <c r="X503" s="24"/>
      <c r="Y503" s="24"/>
      <c r="Z503" s="24"/>
      <c r="AA503" s="24"/>
      <c r="AB503" s="24"/>
    </row>
    <row r="504" spans="14:28" ht="15.75" customHeight="1">
      <c r="N504" s="24"/>
      <c r="O504" s="24"/>
      <c r="P504" s="24"/>
      <c r="Q504" s="24"/>
      <c r="R504" s="24"/>
      <c r="S504" s="24"/>
      <c r="T504" s="24"/>
      <c r="U504" s="24"/>
      <c r="V504" s="24"/>
      <c r="W504" s="24"/>
      <c r="X504" s="24"/>
      <c r="Y504" s="24"/>
      <c r="Z504" s="24"/>
      <c r="AA504" s="24"/>
      <c r="AB504" s="24"/>
    </row>
    <row r="505" spans="14:28" ht="15.75" customHeight="1">
      <c r="N505" s="24"/>
      <c r="O505" s="24"/>
      <c r="P505" s="24"/>
      <c r="Q505" s="24"/>
      <c r="R505" s="24"/>
      <c r="S505" s="24"/>
      <c r="T505" s="24"/>
      <c r="U505" s="24"/>
      <c r="V505" s="24"/>
      <c r="W505" s="24"/>
      <c r="X505" s="24"/>
      <c r="Y505" s="24"/>
      <c r="Z505" s="24"/>
      <c r="AA505" s="24"/>
      <c r="AB505" s="24"/>
    </row>
    <row r="506" spans="14:28" ht="15.75" customHeight="1">
      <c r="N506" s="24"/>
      <c r="O506" s="24"/>
      <c r="P506" s="24"/>
      <c r="Q506" s="24"/>
      <c r="R506" s="24"/>
      <c r="S506" s="24"/>
      <c r="T506" s="24"/>
      <c r="U506" s="24"/>
      <c r="V506" s="24"/>
      <c r="W506" s="24"/>
      <c r="X506" s="24"/>
      <c r="Y506" s="24"/>
      <c r="Z506" s="24"/>
      <c r="AA506" s="24"/>
      <c r="AB506" s="24"/>
    </row>
    <row r="507" spans="14:28" ht="15.75" customHeight="1">
      <c r="N507" s="24"/>
      <c r="O507" s="24"/>
      <c r="P507" s="24"/>
      <c r="Q507" s="24"/>
      <c r="R507" s="24"/>
      <c r="S507" s="24"/>
      <c r="T507" s="24"/>
      <c r="U507" s="24"/>
      <c r="V507" s="24"/>
      <c r="W507" s="24"/>
      <c r="X507" s="24"/>
      <c r="Y507" s="24"/>
      <c r="Z507" s="24"/>
      <c r="AA507" s="24"/>
      <c r="AB507" s="24"/>
    </row>
    <row r="508" spans="14:28" ht="15.75" customHeight="1">
      <c r="N508" s="24"/>
      <c r="O508" s="24"/>
      <c r="P508" s="24"/>
      <c r="Q508" s="24"/>
      <c r="R508" s="24"/>
      <c r="S508" s="24"/>
      <c r="T508" s="24"/>
      <c r="U508" s="24"/>
      <c r="V508" s="24"/>
      <c r="W508" s="24"/>
      <c r="X508" s="24"/>
      <c r="Y508" s="24"/>
      <c r="Z508" s="24"/>
      <c r="AA508" s="24"/>
      <c r="AB508" s="24"/>
    </row>
    <row r="509" spans="14:28" ht="15.75" customHeight="1">
      <c r="N509" s="24"/>
      <c r="O509" s="24"/>
      <c r="P509" s="24"/>
      <c r="Q509" s="24"/>
      <c r="R509" s="24"/>
      <c r="S509" s="24"/>
      <c r="T509" s="24"/>
      <c r="U509" s="24"/>
      <c r="V509" s="24"/>
      <c r="W509" s="24"/>
      <c r="X509" s="24"/>
      <c r="Y509" s="24"/>
      <c r="Z509" s="24"/>
      <c r="AA509" s="24"/>
      <c r="AB509" s="24"/>
    </row>
    <row r="510" spans="14:28" ht="15.75" customHeight="1">
      <c r="N510" s="24"/>
      <c r="O510" s="24"/>
      <c r="P510" s="24"/>
      <c r="Q510" s="24"/>
      <c r="R510" s="24"/>
      <c r="S510" s="24"/>
      <c r="T510" s="24"/>
      <c r="U510" s="24"/>
      <c r="V510" s="24"/>
      <c r="W510" s="24"/>
      <c r="X510" s="24"/>
      <c r="Y510" s="24"/>
      <c r="Z510" s="24"/>
      <c r="AA510" s="24"/>
      <c r="AB510" s="24"/>
    </row>
    <row r="511" spans="14:28" ht="15.75" customHeight="1">
      <c r="N511" s="24"/>
      <c r="O511" s="24"/>
      <c r="P511" s="24"/>
      <c r="Q511" s="24"/>
      <c r="R511" s="24"/>
      <c r="S511" s="24"/>
      <c r="T511" s="24"/>
      <c r="U511" s="24"/>
      <c r="V511" s="24"/>
      <c r="W511" s="24"/>
      <c r="X511" s="24"/>
      <c r="Y511" s="24"/>
      <c r="Z511" s="24"/>
      <c r="AA511" s="24"/>
      <c r="AB511" s="24"/>
    </row>
    <row r="512" spans="14:28" ht="15.75" customHeight="1">
      <c r="N512" s="24"/>
      <c r="O512" s="24"/>
      <c r="P512" s="24"/>
      <c r="Q512" s="24"/>
      <c r="R512" s="24"/>
      <c r="S512" s="24"/>
      <c r="T512" s="24"/>
      <c r="U512" s="24"/>
      <c r="V512" s="24"/>
      <c r="W512" s="24"/>
      <c r="X512" s="24"/>
      <c r="Y512" s="24"/>
      <c r="Z512" s="24"/>
      <c r="AA512" s="24"/>
      <c r="AB512" s="24"/>
    </row>
    <row r="513" spans="14:28" ht="15.75" customHeight="1">
      <c r="N513" s="24"/>
      <c r="O513" s="24"/>
      <c r="P513" s="24"/>
      <c r="Q513" s="24"/>
      <c r="R513" s="24"/>
      <c r="S513" s="24"/>
      <c r="T513" s="24"/>
      <c r="U513" s="24"/>
      <c r="V513" s="24"/>
      <c r="W513" s="24"/>
      <c r="X513" s="24"/>
      <c r="Y513" s="24"/>
      <c r="Z513" s="24"/>
      <c r="AA513" s="24"/>
      <c r="AB513" s="24"/>
    </row>
    <row r="514" spans="14:28" ht="15.75" customHeight="1">
      <c r="N514" s="24"/>
      <c r="O514" s="24"/>
      <c r="P514" s="24"/>
      <c r="Q514" s="24"/>
      <c r="R514" s="24"/>
      <c r="S514" s="24"/>
      <c r="T514" s="24"/>
      <c r="U514" s="24"/>
      <c r="V514" s="24"/>
      <c r="W514" s="24"/>
      <c r="X514" s="24"/>
      <c r="Y514" s="24"/>
      <c r="Z514" s="24"/>
      <c r="AA514" s="24"/>
      <c r="AB514" s="24"/>
    </row>
    <row r="515" spans="14:28" ht="15.75" customHeight="1">
      <c r="N515" s="24"/>
      <c r="O515" s="24"/>
      <c r="P515" s="24"/>
      <c r="Q515" s="24"/>
      <c r="R515" s="24"/>
      <c r="S515" s="24"/>
      <c r="T515" s="24"/>
      <c r="U515" s="24"/>
      <c r="V515" s="24"/>
      <c r="W515" s="24"/>
      <c r="X515" s="24"/>
      <c r="Y515" s="24"/>
      <c r="Z515" s="24"/>
      <c r="AA515" s="24"/>
      <c r="AB515" s="24"/>
    </row>
    <row r="516" spans="14:28" ht="15.75" customHeight="1">
      <c r="N516" s="24"/>
      <c r="O516" s="24"/>
      <c r="P516" s="24"/>
      <c r="Q516" s="24"/>
      <c r="R516" s="24"/>
      <c r="S516" s="24"/>
      <c r="T516" s="24"/>
      <c r="U516" s="24"/>
      <c r="V516" s="24"/>
      <c r="W516" s="24"/>
      <c r="X516" s="24"/>
      <c r="Y516" s="24"/>
      <c r="Z516" s="24"/>
      <c r="AA516" s="24"/>
      <c r="AB516" s="24"/>
    </row>
    <row r="517" spans="14:28" ht="15.75" customHeight="1">
      <c r="N517" s="24"/>
      <c r="O517" s="24"/>
      <c r="P517" s="24"/>
      <c r="Q517" s="24"/>
      <c r="R517" s="24"/>
      <c r="S517" s="24"/>
      <c r="T517" s="24"/>
      <c r="U517" s="24"/>
      <c r="V517" s="24"/>
      <c r="W517" s="24"/>
      <c r="X517" s="24"/>
      <c r="Y517" s="24"/>
      <c r="Z517" s="24"/>
      <c r="AA517" s="24"/>
      <c r="AB517" s="24"/>
    </row>
    <row r="518" spans="14:28" ht="15.75" customHeight="1">
      <c r="N518" s="24"/>
      <c r="O518" s="24"/>
      <c r="P518" s="24"/>
      <c r="Q518" s="24"/>
      <c r="R518" s="24"/>
      <c r="S518" s="24"/>
      <c r="T518" s="24"/>
      <c r="U518" s="24"/>
      <c r="V518" s="24"/>
      <c r="W518" s="24"/>
      <c r="X518" s="24"/>
      <c r="Y518" s="24"/>
      <c r="Z518" s="24"/>
      <c r="AA518" s="24"/>
      <c r="AB518" s="24"/>
    </row>
    <row r="519" spans="14:28" ht="15.75" customHeight="1">
      <c r="N519" s="24"/>
      <c r="O519" s="24"/>
      <c r="P519" s="24"/>
      <c r="Q519" s="24"/>
      <c r="R519" s="24"/>
      <c r="S519" s="24"/>
      <c r="T519" s="24"/>
      <c r="U519" s="24"/>
      <c r="V519" s="24"/>
      <c r="W519" s="24"/>
      <c r="X519" s="24"/>
      <c r="Y519" s="24"/>
      <c r="Z519" s="24"/>
      <c r="AA519" s="24"/>
      <c r="AB519" s="24"/>
    </row>
    <row r="520" spans="14:28" ht="15.75" customHeight="1">
      <c r="N520" s="24"/>
      <c r="O520" s="24"/>
      <c r="P520" s="24"/>
      <c r="Q520" s="24"/>
      <c r="R520" s="24"/>
      <c r="S520" s="24"/>
      <c r="T520" s="24"/>
      <c r="U520" s="24"/>
      <c r="V520" s="24"/>
      <c r="W520" s="24"/>
      <c r="X520" s="24"/>
      <c r="Y520" s="24"/>
      <c r="Z520" s="24"/>
      <c r="AA520" s="24"/>
      <c r="AB520" s="24"/>
    </row>
    <row r="521" spans="14:28" ht="15.75" customHeight="1">
      <c r="N521" s="24"/>
      <c r="O521" s="24"/>
      <c r="P521" s="24"/>
      <c r="Q521" s="24"/>
      <c r="R521" s="24"/>
      <c r="S521" s="24"/>
      <c r="T521" s="24"/>
      <c r="U521" s="24"/>
      <c r="V521" s="24"/>
      <c r="W521" s="24"/>
      <c r="X521" s="24"/>
      <c r="Y521" s="24"/>
      <c r="Z521" s="24"/>
      <c r="AA521" s="24"/>
      <c r="AB521" s="24"/>
    </row>
    <row r="522" spans="14:28" ht="15.75" customHeight="1">
      <c r="N522" s="24"/>
      <c r="O522" s="24"/>
      <c r="P522" s="24"/>
      <c r="Q522" s="24"/>
      <c r="R522" s="24"/>
      <c r="S522" s="24"/>
      <c r="T522" s="24"/>
      <c r="U522" s="24"/>
      <c r="V522" s="24"/>
      <c r="W522" s="24"/>
      <c r="X522" s="24"/>
      <c r="Y522" s="24"/>
      <c r="Z522" s="24"/>
      <c r="AA522" s="24"/>
      <c r="AB522" s="24"/>
    </row>
    <row r="523" spans="14:28" ht="15.75" customHeight="1">
      <c r="N523" s="24"/>
      <c r="O523" s="24"/>
      <c r="P523" s="24"/>
      <c r="Q523" s="24"/>
      <c r="R523" s="24"/>
      <c r="S523" s="24"/>
      <c r="T523" s="24"/>
      <c r="U523" s="24"/>
      <c r="V523" s="24"/>
      <c r="W523" s="24"/>
      <c r="X523" s="24"/>
      <c r="Y523" s="24"/>
      <c r="Z523" s="24"/>
      <c r="AA523" s="24"/>
      <c r="AB523" s="24"/>
    </row>
    <row r="524" spans="14:28" ht="15.75" customHeight="1">
      <c r="N524" s="24"/>
      <c r="O524" s="24"/>
      <c r="P524" s="24"/>
      <c r="Q524" s="24"/>
      <c r="R524" s="24"/>
      <c r="S524" s="24"/>
      <c r="T524" s="24"/>
      <c r="U524" s="24"/>
      <c r="V524" s="24"/>
      <c r="W524" s="24"/>
      <c r="X524" s="24"/>
      <c r="Y524" s="24"/>
      <c r="Z524" s="24"/>
      <c r="AA524" s="24"/>
      <c r="AB524" s="24"/>
    </row>
    <row r="525" spans="14:28" ht="15.75" customHeight="1">
      <c r="N525" s="24"/>
      <c r="O525" s="24"/>
      <c r="P525" s="24"/>
      <c r="Q525" s="24"/>
      <c r="R525" s="24"/>
      <c r="S525" s="24"/>
      <c r="T525" s="24"/>
      <c r="U525" s="24"/>
      <c r="V525" s="24"/>
      <c r="W525" s="24"/>
      <c r="X525" s="24"/>
      <c r="Y525" s="24"/>
      <c r="Z525" s="24"/>
      <c r="AA525" s="24"/>
      <c r="AB525" s="24"/>
    </row>
    <row r="526" spans="14:28" ht="15.75" customHeight="1">
      <c r="N526" s="24"/>
      <c r="O526" s="24"/>
      <c r="P526" s="24"/>
      <c r="Q526" s="24"/>
      <c r="R526" s="24"/>
      <c r="S526" s="24"/>
      <c r="T526" s="24"/>
      <c r="U526" s="24"/>
      <c r="V526" s="24"/>
      <c r="W526" s="24"/>
      <c r="X526" s="24"/>
      <c r="Y526" s="24"/>
      <c r="Z526" s="24"/>
      <c r="AA526" s="24"/>
      <c r="AB526" s="24"/>
    </row>
    <row r="527" spans="14:28" ht="15.75" customHeight="1">
      <c r="N527" s="24"/>
      <c r="O527" s="24"/>
      <c r="P527" s="24"/>
      <c r="Q527" s="24"/>
      <c r="R527" s="24"/>
      <c r="S527" s="24"/>
      <c r="T527" s="24"/>
      <c r="U527" s="24"/>
      <c r="V527" s="24"/>
      <c r="W527" s="24"/>
      <c r="X527" s="24"/>
      <c r="Y527" s="24"/>
      <c r="Z527" s="24"/>
      <c r="AA527" s="24"/>
      <c r="AB527" s="24"/>
    </row>
    <row r="528" spans="14:28" ht="15.75" customHeight="1">
      <c r="N528" s="24"/>
      <c r="O528" s="24"/>
      <c r="P528" s="24"/>
      <c r="Q528" s="24"/>
      <c r="R528" s="24"/>
      <c r="S528" s="24"/>
      <c r="T528" s="24"/>
      <c r="U528" s="24"/>
      <c r="V528" s="24"/>
      <c r="W528" s="24"/>
      <c r="X528" s="24"/>
      <c r="Y528" s="24"/>
      <c r="Z528" s="24"/>
      <c r="AA528" s="24"/>
      <c r="AB528" s="24"/>
    </row>
    <row r="529" spans="14:28" ht="15.75" customHeight="1">
      <c r="N529" s="24"/>
      <c r="O529" s="24"/>
      <c r="P529" s="24"/>
      <c r="Q529" s="24"/>
      <c r="R529" s="24"/>
      <c r="S529" s="24"/>
      <c r="T529" s="24"/>
      <c r="U529" s="24"/>
      <c r="V529" s="24"/>
      <c r="W529" s="24"/>
      <c r="X529" s="24"/>
      <c r="Y529" s="24"/>
      <c r="Z529" s="24"/>
      <c r="AA529" s="24"/>
      <c r="AB529" s="24"/>
    </row>
    <row r="530" spans="14:28" ht="15.75" customHeight="1">
      <c r="N530" s="24"/>
      <c r="O530" s="24"/>
      <c r="P530" s="24"/>
      <c r="Q530" s="24"/>
      <c r="R530" s="24"/>
      <c r="S530" s="24"/>
      <c r="T530" s="24"/>
      <c r="U530" s="24"/>
      <c r="V530" s="24"/>
      <c r="W530" s="24"/>
      <c r="X530" s="24"/>
      <c r="Y530" s="24"/>
      <c r="Z530" s="24"/>
      <c r="AA530" s="24"/>
      <c r="AB530" s="24"/>
    </row>
    <row r="531" spans="14:28" ht="15.75" customHeight="1">
      <c r="N531" s="24"/>
      <c r="O531" s="24"/>
      <c r="P531" s="24"/>
      <c r="Q531" s="24"/>
      <c r="R531" s="24"/>
      <c r="S531" s="24"/>
      <c r="T531" s="24"/>
      <c r="U531" s="24"/>
      <c r="V531" s="24"/>
      <c r="W531" s="24"/>
      <c r="X531" s="24"/>
      <c r="Y531" s="24"/>
      <c r="Z531" s="24"/>
      <c r="AA531" s="24"/>
      <c r="AB531" s="24"/>
    </row>
    <row r="532" spans="14:28" ht="15.75" customHeight="1">
      <c r="N532" s="24"/>
      <c r="O532" s="24"/>
      <c r="P532" s="24"/>
      <c r="Q532" s="24"/>
      <c r="R532" s="24"/>
      <c r="S532" s="24"/>
      <c r="T532" s="24"/>
      <c r="U532" s="24"/>
      <c r="V532" s="24"/>
      <c r="W532" s="24"/>
      <c r="X532" s="24"/>
      <c r="Y532" s="24"/>
      <c r="Z532" s="24"/>
      <c r="AA532" s="24"/>
      <c r="AB532" s="24"/>
    </row>
    <row r="533" spans="14:28" ht="15.75" customHeight="1">
      <c r="N533" s="24"/>
      <c r="O533" s="24"/>
      <c r="P533" s="24"/>
      <c r="Q533" s="24"/>
      <c r="R533" s="24"/>
      <c r="S533" s="24"/>
      <c r="T533" s="24"/>
      <c r="U533" s="24"/>
      <c r="V533" s="24"/>
      <c r="W533" s="24"/>
      <c r="X533" s="24"/>
      <c r="Y533" s="24"/>
      <c r="Z533" s="24"/>
      <c r="AA533" s="24"/>
      <c r="AB533" s="24"/>
    </row>
    <row r="534" spans="14:28" ht="15.75" customHeight="1">
      <c r="N534" s="24"/>
      <c r="O534" s="24"/>
      <c r="P534" s="24"/>
      <c r="Q534" s="24"/>
      <c r="R534" s="24"/>
      <c r="S534" s="24"/>
      <c r="T534" s="24"/>
      <c r="U534" s="24"/>
      <c r="V534" s="24"/>
      <c r="W534" s="24"/>
      <c r="X534" s="24"/>
      <c r="Y534" s="24"/>
      <c r="Z534" s="24"/>
      <c r="AA534" s="24"/>
      <c r="AB534" s="24"/>
    </row>
    <row r="535" spans="14:28" ht="15.75" customHeight="1">
      <c r="N535" s="24"/>
      <c r="O535" s="24"/>
      <c r="P535" s="24"/>
      <c r="Q535" s="24"/>
      <c r="R535" s="24"/>
      <c r="S535" s="24"/>
      <c r="T535" s="24"/>
      <c r="U535" s="24"/>
      <c r="V535" s="24"/>
      <c r="W535" s="24"/>
      <c r="X535" s="24"/>
      <c r="Y535" s="24"/>
      <c r="Z535" s="24"/>
      <c r="AA535" s="24"/>
      <c r="AB535" s="24"/>
    </row>
    <row r="536" spans="14:28" ht="15.75" customHeight="1">
      <c r="N536" s="24"/>
      <c r="O536" s="24"/>
      <c r="P536" s="24"/>
      <c r="Q536" s="24"/>
      <c r="R536" s="24"/>
      <c r="S536" s="24"/>
      <c r="T536" s="24"/>
      <c r="U536" s="24"/>
      <c r="V536" s="24"/>
      <c r="W536" s="24"/>
      <c r="X536" s="24"/>
      <c r="Y536" s="24"/>
      <c r="Z536" s="24"/>
      <c r="AA536" s="24"/>
      <c r="AB536" s="24"/>
    </row>
    <row r="537" spans="14:28" ht="15.75" customHeight="1">
      <c r="N537" s="24"/>
      <c r="O537" s="24"/>
      <c r="P537" s="24"/>
      <c r="Q537" s="24"/>
      <c r="R537" s="24"/>
      <c r="S537" s="24"/>
      <c r="T537" s="24"/>
      <c r="U537" s="24"/>
      <c r="V537" s="24"/>
      <c r="W537" s="24"/>
      <c r="X537" s="24"/>
      <c r="Y537" s="24"/>
      <c r="Z537" s="24"/>
      <c r="AA537" s="24"/>
      <c r="AB537" s="24"/>
    </row>
    <row r="538" spans="14:28" ht="15.75" customHeight="1">
      <c r="N538" s="24"/>
      <c r="O538" s="24"/>
      <c r="P538" s="24"/>
      <c r="Q538" s="24"/>
      <c r="R538" s="24"/>
      <c r="S538" s="24"/>
      <c r="T538" s="24"/>
      <c r="U538" s="24"/>
      <c r="V538" s="24"/>
      <c r="W538" s="24"/>
      <c r="X538" s="24"/>
      <c r="Y538" s="24"/>
      <c r="Z538" s="24"/>
      <c r="AA538" s="24"/>
      <c r="AB538" s="24"/>
    </row>
    <row r="539" spans="14:28" ht="15.75" customHeight="1">
      <c r="N539" s="24"/>
      <c r="O539" s="24"/>
      <c r="P539" s="24"/>
      <c r="Q539" s="24"/>
      <c r="R539" s="24"/>
      <c r="S539" s="24"/>
      <c r="T539" s="24"/>
      <c r="U539" s="24"/>
      <c r="V539" s="24"/>
      <c r="W539" s="24"/>
      <c r="X539" s="24"/>
      <c r="Y539" s="24"/>
      <c r="Z539" s="24"/>
      <c r="AA539" s="24"/>
      <c r="AB539" s="24"/>
    </row>
    <row r="540" spans="14:28" ht="15.75" customHeight="1">
      <c r="N540" s="24"/>
      <c r="O540" s="24"/>
      <c r="P540" s="24"/>
      <c r="Q540" s="24"/>
      <c r="R540" s="24"/>
      <c r="S540" s="24"/>
      <c r="T540" s="24"/>
      <c r="U540" s="24"/>
      <c r="V540" s="24"/>
      <c r="W540" s="24"/>
      <c r="X540" s="24"/>
      <c r="Y540" s="24"/>
      <c r="Z540" s="24"/>
      <c r="AA540" s="24"/>
      <c r="AB540" s="24"/>
    </row>
    <row r="541" spans="14:28" ht="15.75" customHeight="1">
      <c r="N541" s="24"/>
      <c r="O541" s="24"/>
      <c r="P541" s="24"/>
      <c r="Q541" s="24"/>
      <c r="R541" s="24"/>
      <c r="S541" s="24"/>
      <c r="T541" s="24"/>
      <c r="U541" s="24"/>
      <c r="V541" s="24"/>
      <c r="W541" s="24"/>
      <c r="X541" s="24"/>
      <c r="Y541" s="24"/>
      <c r="Z541" s="24"/>
      <c r="AA541" s="24"/>
      <c r="AB541" s="24"/>
    </row>
    <row r="542" spans="14:28" ht="15.75" customHeight="1">
      <c r="N542" s="24"/>
      <c r="O542" s="24"/>
      <c r="P542" s="24"/>
      <c r="Q542" s="24"/>
      <c r="R542" s="24"/>
      <c r="S542" s="24"/>
      <c r="T542" s="24"/>
      <c r="U542" s="24"/>
      <c r="V542" s="24"/>
      <c r="W542" s="24"/>
      <c r="X542" s="24"/>
      <c r="Y542" s="24"/>
      <c r="Z542" s="24"/>
      <c r="AA542" s="24"/>
      <c r="AB542" s="24"/>
    </row>
    <row r="543" spans="14:28" ht="15.75" customHeight="1">
      <c r="N543" s="24"/>
      <c r="O543" s="24"/>
      <c r="P543" s="24"/>
      <c r="Q543" s="24"/>
      <c r="R543" s="24"/>
      <c r="S543" s="24"/>
      <c r="T543" s="24"/>
      <c r="U543" s="24"/>
      <c r="V543" s="24"/>
      <c r="W543" s="24"/>
      <c r="X543" s="24"/>
      <c r="Y543" s="24"/>
      <c r="Z543" s="24"/>
      <c r="AA543" s="24"/>
      <c r="AB543" s="24"/>
    </row>
    <row r="544" spans="14:28" ht="15.75" customHeight="1">
      <c r="N544" s="24"/>
      <c r="O544" s="24"/>
      <c r="P544" s="24"/>
      <c r="Q544" s="24"/>
      <c r="R544" s="24"/>
      <c r="S544" s="24"/>
      <c r="T544" s="24"/>
      <c r="U544" s="24"/>
      <c r="V544" s="24"/>
      <c r="W544" s="24"/>
      <c r="X544" s="24"/>
      <c r="Y544" s="24"/>
      <c r="Z544" s="24"/>
      <c r="AA544" s="24"/>
      <c r="AB544" s="24"/>
    </row>
    <row r="545" spans="14:28" ht="15.75" customHeight="1">
      <c r="N545" s="24"/>
      <c r="O545" s="24"/>
      <c r="P545" s="24"/>
      <c r="Q545" s="24"/>
      <c r="R545" s="24"/>
      <c r="S545" s="24"/>
      <c r="T545" s="24"/>
      <c r="U545" s="24"/>
      <c r="V545" s="24"/>
      <c r="W545" s="24"/>
      <c r="X545" s="24"/>
      <c r="Y545" s="24"/>
      <c r="Z545" s="24"/>
      <c r="AA545" s="24"/>
      <c r="AB545" s="24"/>
    </row>
    <row r="546" spans="14:28" ht="15.75" customHeight="1">
      <c r="N546" s="24"/>
      <c r="O546" s="24"/>
      <c r="P546" s="24"/>
      <c r="Q546" s="24"/>
      <c r="R546" s="24"/>
      <c r="S546" s="24"/>
      <c r="T546" s="24"/>
      <c r="U546" s="24"/>
      <c r="V546" s="24"/>
      <c r="W546" s="24"/>
      <c r="X546" s="24"/>
      <c r="Y546" s="24"/>
      <c r="Z546" s="24"/>
      <c r="AA546" s="24"/>
      <c r="AB546" s="24"/>
    </row>
    <row r="547" spans="14:28" ht="15.75" customHeight="1">
      <c r="N547" s="24"/>
      <c r="O547" s="24"/>
      <c r="P547" s="24"/>
      <c r="Q547" s="24"/>
      <c r="R547" s="24"/>
      <c r="S547" s="24"/>
      <c r="T547" s="24"/>
      <c r="U547" s="24"/>
      <c r="V547" s="24"/>
      <c r="W547" s="24"/>
      <c r="X547" s="24"/>
      <c r="Y547" s="24"/>
      <c r="Z547" s="24"/>
      <c r="AA547" s="24"/>
      <c r="AB547" s="24"/>
    </row>
    <row r="548" spans="14:28" ht="15.75" customHeight="1">
      <c r="N548" s="24"/>
      <c r="O548" s="24"/>
      <c r="P548" s="24"/>
      <c r="Q548" s="24"/>
      <c r="R548" s="24"/>
      <c r="S548" s="24"/>
      <c r="T548" s="24"/>
      <c r="U548" s="24"/>
      <c r="V548" s="24"/>
      <c r="W548" s="24"/>
      <c r="X548" s="24"/>
      <c r="Y548" s="24"/>
      <c r="Z548" s="24"/>
      <c r="AA548" s="24"/>
      <c r="AB548" s="24"/>
    </row>
    <row r="549" spans="14:28" ht="15.75" customHeight="1">
      <c r="N549" s="24"/>
      <c r="O549" s="24"/>
      <c r="P549" s="24"/>
      <c r="Q549" s="24"/>
      <c r="R549" s="24"/>
      <c r="S549" s="24"/>
      <c r="T549" s="24"/>
      <c r="U549" s="24"/>
      <c r="V549" s="24"/>
      <c r="W549" s="24"/>
      <c r="X549" s="24"/>
      <c r="Y549" s="24"/>
      <c r="Z549" s="24"/>
      <c r="AA549" s="24"/>
      <c r="AB549" s="24"/>
    </row>
    <row r="550" spans="14:28" ht="15.75" customHeight="1">
      <c r="N550" s="24"/>
      <c r="O550" s="24"/>
      <c r="P550" s="24"/>
      <c r="Q550" s="24"/>
      <c r="R550" s="24"/>
      <c r="S550" s="24"/>
      <c r="T550" s="24"/>
      <c r="U550" s="24"/>
      <c r="V550" s="24"/>
      <c r="W550" s="24"/>
      <c r="X550" s="24"/>
      <c r="Y550" s="24"/>
      <c r="Z550" s="24"/>
      <c r="AA550" s="24"/>
      <c r="AB550" s="24"/>
    </row>
    <row r="551" spans="14:28" ht="15.75" customHeight="1">
      <c r="N551" s="24"/>
      <c r="O551" s="24"/>
      <c r="P551" s="24"/>
      <c r="Q551" s="24"/>
      <c r="R551" s="24"/>
      <c r="S551" s="24"/>
      <c r="T551" s="24"/>
      <c r="U551" s="24"/>
      <c r="V551" s="24"/>
      <c r="W551" s="24"/>
      <c r="X551" s="24"/>
      <c r="Y551" s="24"/>
      <c r="Z551" s="24"/>
      <c r="AA551" s="24"/>
      <c r="AB551" s="24"/>
    </row>
    <row r="552" spans="14:28" ht="15.75" customHeight="1">
      <c r="N552" s="24"/>
      <c r="O552" s="24"/>
      <c r="P552" s="24"/>
      <c r="Q552" s="24"/>
      <c r="R552" s="24"/>
      <c r="S552" s="24"/>
      <c r="T552" s="24"/>
      <c r="U552" s="24"/>
      <c r="V552" s="24"/>
      <c r="W552" s="24"/>
      <c r="X552" s="24"/>
      <c r="Y552" s="24"/>
      <c r="Z552" s="24"/>
      <c r="AA552" s="24"/>
      <c r="AB552" s="24"/>
    </row>
    <row r="553" spans="14:28" ht="15.75" customHeight="1">
      <c r="N553" s="24"/>
      <c r="O553" s="24"/>
      <c r="P553" s="24"/>
      <c r="Q553" s="24"/>
      <c r="R553" s="24"/>
      <c r="S553" s="24"/>
      <c r="T553" s="24"/>
      <c r="U553" s="24"/>
      <c r="V553" s="24"/>
      <c r="W553" s="24"/>
      <c r="X553" s="24"/>
      <c r="Y553" s="24"/>
      <c r="Z553" s="24"/>
      <c r="AA553" s="24"/>
      <c r="AB553" s="24"/>
    </row>
    <row r="554" spans="14:28" ht="15.75" customHeight="1">
      <c r="N554" s="24"/>
      <c r="O554" s="24"/>
      <c r="P554" s="24"/>
      <c r="Q554" s="24"/>
      <c r="R554" s="24"/>
      <c r="S554" s="24"/>
      <c r="T554" s="24"/>
      <c r="U554" s="24"/>
      <c r="V554" s="24"/>
      <c r="W554" s="24"/>
      <c r="X554" s="24"/>
      <c r="Y554" s="24"/>
      <c r="Z554" s="24"/>
      <c r="AA554" s="24"/>
      <c r="AB554" s="24"/>
    </row>
    <row r="555" spans="14:28" ht="15.75" customHeight="1">
      <c r="N555" s="24"/>
      <c r="O555" s="24"/>
      <c r="P555" s="24"/>
      <c r="Q555" s="24"/>
      <c r="R555" s="24"/>
      <c r="S555" s="24"/>
      <c r="T555" s="24"/>
      <c r="U555" s="24"/>
      <c r="V555" s="24"/>
      <c r="W555" s="24"/>
      <c r="X555" s="24"/>
      <c r="Y555" s="24"/>
      <c r="Z555" s="24"/>
      <c r="AA555" s="24"/>
      <c r="AB555" s="24"/>
    </row>
    <row r="556" spans="14:28" ht="15.75" customHeight="1">
      <c r="N556" s="24"/>
      <c r="O556" s="24"/>
      <c r="P556" s="24"/>
      <c r="Q556" s="24"/>
      <c r="R556" s="24"/>
      <c r="S556" s="24"/>
      <c r="T556" s="24"/>
      <c r="U556" s="24"/>
      <c r="V556" s="24"/>
      <c r="W556" s="24"/>
      <c r="X556" s="24"/>
      <c r="Y556" s="24"/>
      <c r="Z556" s="24"/>
      <c r="AA556" s="24"/>
      <c r="AB556" s="24"/>
    </row>
    <row r="557" spans="14:28" ht="15.75" customHeight="1">
      <c r="N557" s="24"/>
      <c r="O557" s="24"/>
      <c r="P557" s="24"/>
      <c r="Q557" s="24"/>
      <c r="R557" s="24"/>
      <c r="S557" s="24"/>
      <c r="T557" s="24"/>
      <c r="U557" s="24"/>
      <c r="V557" s="24"/>
      <c r="W557" s="24"/>
      <c r="X557" s="24"/>
      <c r="Y557" s="24"/>
      <c r="Z557" s="24"/>
      <c r="AA557" s="24"/>
      <c r="AB557" s="24"/>
    </row>
    <row r="558" spans="14:28" ht="15.75" customHeight="1">
      <c r="N558" s="24"/>
      <c r="O558" s="24"/>
      <c r="P558" s="24"/>
      <c r="Q558" s="24"/>
      <c r="R558" s="24"/>
      <c r="S558" s="24"/>
      <c r="T558" s="24"/>
      <c r="U558" s="24"/>
      <c r="V558" s="24"/>
      <c r="W558" s="24"/>
      <c r="X558" s="24"/>
      <c r="Y558" s="24"/>
      <c r="Z558" s="24"/>
      <c r="AA558" s="24"/>
      <c r="AB558" s="24"/>
    </row>
    <row r="559" spans="14:28" ht="15.75" customHeight="1">
      <c r="N559" s="24"/>
      <c r="O559" s="24"/>
      <c r="P559" s="24"/>
      <c r="Q559" s="24"/>
      <c r="R559" s="24"/>
      <c r="S559" s="24"/>
      <c r="T559" s="24"/>
      <c r="U559" s="24"/>
      <c r="V559" s="24"/>
      <c r="W559" s="24"/>
      <c r="X559" s="24"/>
      <c r="Y559" s="24"/>
      <c r="Z559" s="24"/>
      <c r="AA559" s="24"/>
      <c r="AB559" s="24"/>
    </row>
    <row r="560" spans="14:28" ht="15.75" customHeight="1">
      <c r="N560" s="24"/>
      <c r="O560" s="24"/>
      <c r="P560" s="24"/>
      <c r="Q560" s="24"/>
      <c r="R560" s="24"/>
      <c r="S560" s="24"/>
      <c r="T560" s="24"/>
      <c r="U560" s="24"/>
      <c r="V560" s="24"/>
      <c r="W560" s="24"/>
      <c r="X560" s="24"/>
      <c r="Y560" s="24"/>
      <c r="Z560" s="24"/>
      <c r="AA560" s="24"/>
      <c r="AB560" s="24"/>
    </row>
    <row r="561" spans="14:28" ht="15.75" customHeight="1">
      <c r="N561" s="24"/>
      <c r="O561" s="24"/>
      <c r="P561" s="24"/>
      <c r="Q561" s="24"/>
      <c r="R561" s="24"/>
      <c r="S561" s="24"/>
      <c r="T561" s="24"/>
      <c r="U561" s="24"/>
      <c r="V561" s="24"/>
      <c r="W561" s="24"/>
      <c r="X561" s="24"/>
      <c r="Y561" s="24"/>
      <c r="Z561" s="24"/>
      <c r="AA561" s="24"/>
      <c r="AB561" s="24"/>
    </row>
    <row r="562" spans="14:28" ht="15.75" customHeight="1">
      <c r="N562" s="24"/>
      <c r="O562" s="24"/>
      <c r="P562" s="24"/>
      <c r="Q562" s="24"/>
      <c r="R562" s="24"/>
      <c r="S562" s="24"/>
      <c r="T562" s="24"/>
      <c r="U562" s="24"/>
      <c r="V562" s="24"/>
      <c r="W562" s="24"/>
      <c r="X562" s="24"/>
      <c r="Y562" s="24"/>
      <c r="Z562" s="24"/>
      <c r="AA562" s="24"/>
      <c r="AB562" s="24"/>
    </row>
    <row r="563" spans="14:28" ht="15.75" customHeight="1">
      <c r="N563" s="24"/>
      <c r="O563" s="24"/>
      <c r="P563" s="24"/>
      <c r="Q563" s="24"/>
      <c r="R563" s="24"/>
      <c r="S563" s="24"/>
      <c r="T563" s="24"/>
      <c r="U563" s="24"/>
      <c r="V563" s="24"/>
      <c r="W563" s="24"/>
      <c r="X563" s="24"/>
      <c r="Y563" s="24"/>
      <c r="Z563" s="24"/>
      <c r="AA563" s="24"/>
      <c r="AB563" s="24"/>
    </row>
    <row r="564" spans="14:28" ht="15.75" customHeight="1">
      <c r="N564" s="24"/>
      <c r="O564" s="24"/>
      <c r="P564" s="24"/>
      <c r="Q564" s="24"/>
      <c r="R564" s="24"/>
      <c r="S564" s="24"/>
      <c r="T564" s="24"/>
      <c r="U564" s="24"/>
      <c r="V564" s="24"/>
      <c r="W564" s="24"/>
      <c r="X564" s="24"/>
      <c r="Y564" s="24"/>
      <c r="Z564" s="24"/>
      <c r="AA564" s="24"/>
      <c r="AB564" s="24"/>
    </row>
    <row r="565" spans="14:28" ht="15.75" customHeight="1">
      <c r="N565" s="24"/>
      <c r="O565" s="24"/>
      <c r="P565" s="24"/>
      <c r="Q565" s="24"/>
      <c r="R565" s="24"/>
      <c r="S565" s="24"/>
      <c r="T565" s="24"/>
      <c r="U565" s="24"/>
      <c r="V565" s="24"/>
      <c r="W565" s="24"/>
      <c r="X565" s="24"/>
      <c r="Y565" s="24"/>
      <c r="Z565" s="24"/>
      <c r="AA565" s="24"/>
      <c r="AB565" s="24"/>
    </row>
    <row r="566" spans="14:28" ht="15.75" customHeight="1">
      <c r="N566" s="24"/>
      <c r="O566" s="24"/>
      <c r="P566" s="24"/>
      <c r="Q566" s="24"/>
      <c r="R566" s="24"/>
      <c r="S566" s="24"/>
      <c r="T566" s="24"/>
      <c r="U566" s="24"/>
      <c r="V566" s="24"/>
      <c r="W566" s="24"/>
      <c r="X566" s="24"/>
      <c r="Y566" s="24"/>
      <c r="Z566" s="24"/>
      <c r="AA566" s="24"/>
      <c r="AB566" s="24"/>
    </row>
    <row r="567" spans="14:28" ht="15.75" customHeight="1">
      <c r="N567" s="24"/>
      <c r="O567" s="24"/>
      <c r="P567" s="24"/>
      <c r="Q567" s="24"/>
      <c r="R567" s="24"/>
      <c r="S567" s="24"/>
      <c r="T567" s="24"/>
      <c r="U567" s="24"/>
      <c r="V567" s="24"/>
      <c r="W567" s="24"/>
      <c r="X567" s="24"/>
      <c r="Y567" s="24"/>
      <c r="Z567" s="24"/>
      <c r="AA567" s="24"/>
      <c r="AB567" s="24"/>
    </row>
    <row r="568" spans="14:28" ht="15.75" customHeight="1">
      <c r="N568" s="24"/>
      <c r="O568" s="24"/>
      <c r="P568" s="24"/>
      <c r="Q568" s="24"/>
      <c r="R568" s="24"/>
      <c r="S568" s="24"/>
      <c r="T568" s="24"/>
      <c r="U568" s="24"/>
      <c r="V568" s="24"/>
      <c r="W568" s="24"/>
      <c r="X568" s="24"/>
      <c r="Y568" s="24"/>
      <c r="Z568" s="24"/>
      <c r="AA568" s="24"/>
      <c r="AB568" s="24"/>
    </row>
    <row r="569" spans="14:28" ht="15.75" customHeight="1">
      <c r="N569" s="24"/>
      <c r="O569" s="24"/>
      <c r="P569" s="24"/>
      <c r="Q569" s="24"/>
      <c r="R569" s="24"/>
      <c r="S569" s="24"/>
      <c r="T569" s="24"/>
      <c r="U569" s="24"/>
      <c r="V569" s="24"/>
      <c r="W569" s="24"/>
      <c r="X569" s="24"/>
      <c r="Y569" s="24"/>
      <c r="Z569" s="24"/>
      <c r="AA569" s="24"/>
      <c r="AB569" s="24"/>
    </row>
    <row r="570" spans="14:28" ht="15.75" customHeight="1">
      <c r="N570" s="24"/>
      <c r="O570" s="24"/>
      <c r="P570" s="24"/>
      <c r="Q570" s="24"/>
      <c r="R570" s="24"/>
      <c r="S570" s="24"/>
      <c r="T570" s="24"/>
      <c r="U570" s="24"/>
      <c r="V570" s="24"/>
      <c r="W570" s="24"/>
      <c r="X570" s="24"/>
      <c r="Y570" s="24"/>
      <c r="Z570" s="24"/>
      <c r="AA570" s="24"/>
      <c r="AB570" s="24"/>
    </row>
    <row r="571" spans="14:28" ht="15.75" customHeight="1">
      <c r="N571" s="24"/>
      <c r="O571" s="24"/>
      <c r="P571" s="24"/>
      <c r="Q571" s="24"/>
      <c r="R571" s="24"/>
      <c r="S571" s="24"/>
      <c r="T571" s="24"/>
      <c r="U571" s="24"/>
      <c r="V571" s="24"/>
      <c r="W571" s="24"/>
      <c r="X571" s="24"/>
      <c r="Y571" s="24"/>
      <c r="Z571" s="24"/>
      <c r="AA571" s="24"/>
      <c r="AB571" s="24"/>
    </row>
    <row r="572" spans="14:28" ht="15.75" customHeight="1">
      <c r="N572" s="24"/>
      <c r="O572" s="24"/>
      <c r="P572" s="24"/>
      <c r="Q572" s="24"/>
      <c r="R572" s="24"/>
      <c r="S572" s="24"/>
      <c r="T572" s="24"/>
      <c r="U572" s="24"/>
      <c r="V572" s="24"/>
      <c r="W572" s="24"/>
      <c r="X572" s="24"/>
      <c r="Y572" s="24"/>
      <c r="Z572" s="24"/>
      <c r="AA572" s="24"/>
      <c r="AB572" s="24"/>
    </row>
    <row r="573" spans="14:28" ht="15.75" customHeight="1">
      <c r="N573" s="24"/>
      <c r="O573" s="24"/>
      <c r="P573" s="24"/>
      <c r="Q573" s="24"/>
      <c r="R573" s="24"/>
      <c r="S573" s="24"/>
      <c r="T573" s="24"/>
      <c r="U573" s="24"/>
      <c r="V573" s="24"/>
      <c r="W573" s="24"/>
      <c r="X573" s="24"/>
      <c r="Y573" s="24"/>
      <c r="Z573" s="24"/>
      <c r="AA573" s="24"/>
      <c r="AB573" s="24"/>
    </row>
    <row r="574" spans="14:28" ht="15.75" customHeight="1">
      <c r="N574" s="24"/>
      <c r="O574" s="24"/>
      <c r="P574" s="24"/>
      <c r="Q574" s="24"/>
      <c r="R574" s="24"/>
      <c r="S574" s="24"/>
      <c r="T574" s="24"/>
      <c r="U574" s="24"/>
      <c r="V574" s="24"/>
      <c r="W574" s="24"/>
      <c r="X574" s="24"/>
      <c r="Y574" s="24"/>
      <c r="Z574" s="24"/>
      <c r="AA574" s="24"/>
      <c r="AB574" s="24"/>
    </row>
    <row r="575" spans="14:28" ht="15.75" customHeight="1">
      <c r="N575" s="24"/>
      <c r="O575" s="24"/>
      <c r="P575" s="24"/>
      <c r="Q575" s="24"/>
      <c r="R575" s="24"/>
      <c r="S575" s="24"/>
      <c r="T575" s="24"/>
      <c r="U575" s="24"/>
      <c r="V575" s="24"/>
      <c r="W575" s="24"/>
      <c r="X575" s="24"/>
      <c r="Y575" s="24"/>
      <c r="Z575" s="24"/>
      <c r="AA575" s="24"/>
      <c r="AB575" s="24"/>
    </row>
    <row r="576" spans="14:28" ht="15.75" customHeight="1">
      <c r="N576" s="24"/>
      <c r="O576" s="24"/>
      <c r="P576" s="24"/>
      <c r="Q576" s="24"/>
      <c r="R576" s="24"/>
      <c r="S576" s="24"/>
      <c r="T576" s="24"/>
      <c r="U576" s="24"/>
      <c r="V576" s="24"/>
      <c r="W576" s="24"/>
      <c r="X576" s="24"/>
      <c r="Y576" s="24"/>
      <c r="Z576" s="24"/>
      <c r="AA576" s="24"/>
      <c r="AB576" s="24"/>
    </row>
    <row r="577" spans="14:28" ht="15.75" customHeight="1">
      <c r="N577" s="24"/>
      <c r="O577" s="24"/>
      <c r="P577" s="24"/>
      <c r="Q577" s="24"/>
      <c r="R577" s="24"/>
      <c r="S577" s="24"/>
      <c r="T577" s="24"/>
      <c r="U577" s="24"/>
      <c r="V577" s="24"/>
      <c r="W577" s="24"/>
      <c r="X577" s="24"/>
      <c r="Y577" s="24"/>
      <c r="Z577" s="24"/>
      <c r="AA577" s="24"/>
      <c r="AB577" s="24"/>
    </row>
    <row r="578" spans="14:28" ht="15.75" customHeight="1">
      <c r="N578" s="24"/>
      <c r="O578" s="24"/>
      <c r="P578" s="24"/>
      <c r="Q578" s="24"/>
      <c r="R578" s="24"/>
      <c r="S578" s="24"/>
      <c r="T578" s="24"/>
      <c r="U578" s="24"/>
      <c r="V578" s="24"/>
      <c r="W578" s="24"/>
      <c r="X578" s="24"/>
      <c r="Y578" s="24"/>
      <c r="Z578" s="24"/>
      <c r="AA578" s="24"/>
      <c r="AB578" s="24"/>
    </row>
    <row r="579" spans="14:28" ht="15.75" customHeight="1">
      <c r="N579" s="24"/>
      <c r="O579" s="24"/>
      <c r="P579" s="24"/>
      <c r="Q579" s="24"/>
      <c r="R579" s="24"/>
      <c r="S579" s="24"/>
      <c r="T579" s="24"/>
      <c r="U579" s="24"/>
      <c r="V579" s="24"/>
      <c r="W579" s="24"/>
      <c r="X579" s="24"/>
      <c r="Y579" s="24"/>
      <c r="Z579" s="24"/>
      <c r="AA579" s="24"/>
      <c r="AB579" s="24"/>
    </row>
    <row r="580" spans="14:28" ht="15.75" customHeight="1">
      <c r="N580" s="24"/>
      <c r="O580" s="24"/>
      <c r="P580" s="24"/>
      <c r="Q580" s="24"/>
      <c r="R580" s="24"/>
      <c r="S580" s="24"/>
      <c r="T580" s="24"/>
      <c r="U580" s="24"/>
      <c r="V580" s="24"/>
      <c r="W580" s="24"/>
      <c r="X580" s="24"/>
      <c r="Y580" s="24"/>
      <c r="Z580" s="24"/>
      <c r="AA580" s="24"/>
      <c r="AB580" s="24"/>
    </row>
    <row r="581" spans="14:28" ht="15.75" customHeight="1">
      <c r="N581" s="24"/>
      <c r="O581" s="24"/>
      <c r="P581" s="24"/>
      <c r="Q581" s="24"/>
      <c r="R581" s="24"/>
      <c r="S581" s="24"/>
      <c r="T581" s="24"/>
      <c r="U581" s="24"/>
      <c r="V581" s="24"/>
      <c r="W581" s="24"/>
      <c r="X581" s="24"/>
      <c r="Y581" s="24"/>
      <c r="Z581" s="24"/>
      <c r="AA581" s="24"/>
      <c r="AB581" s="24"/>
    </row>
    <row r="582" spans="14:28" ht="15.75" customHeight="1">
      <c r="N582" s="24"/>
      <c r="O582" s="24"/>
      <c r="P582" s="24"/>
      <c r="Q582" s="24"/>
      <c r="R582" s="24"/>
      <c r="S582" s="24"/>
      <c r="T582" s="24"/>
      <c r="U582" s="24"/>
      <c r="V582" s="24"/>
      <c r="W582" s="24"/>
      <c r="X582" s="24"/>
      <c r="Y582" s="24"/>
      <c r="Z582" s="24"/>
      <c r="AA582" s="24"/>
      <c r="AB582" s="24"/>
    </row>
    <row r="583" spans="14:28" ht="15.75" customHeight="1">
      <c r="N583" s="24"/>
      <c r="O583" s="24"/>
      <c r="P583" s="24"/>
      <c r="Q583" s="24"/>
      <c r="R583" s="24"/>
      <c r="S583" s="24"/>
      <c r="T583" s="24"/>
      <c r="U583" s="24"/>
      <c r="V583" s="24"/>
      <c r="W583" s="24"/>
      <c r="X583" s="24"/>
      <c r="Y583" s="24"/>
      <c r="Z583" s="24"/>
      <c r="AA583" s="24"/>
      <c r="AB583" s="24"/>
    </row>
    <row r="584" spans="14:28" ht="15.75" customHeight="1">
      <c r="N584" s="24"/>
      <c r="O584" s="24"/>
      <c r="P584" s="24"/>
      <c r="Q584" s="24"/>
      <c r="R584" s="24"/>
      <c r="S584" s="24"/>
      <c r="T584" s="24"/>
      <c r="U584" s="24"/>
      <c r="V584" s="24"/>
      <c r="W584" s="24"/>
      <c r="X584" s="24"/>
      <c r="Y584" s="24"/>
      <c r="Z584" s="24"/>
      <c r="AA584" s="24"/>
      <c r="AB584" s="24"/>
    </row>
    <row r="585" spans="14:28" ht="15.75" customHeight="1">
      <c r="N585" s="24"/>
      <c r="O585" s="24"/>
      <c r="P585" s="24"/>
      <c r="Q585" s="24"/>
      <c r="R585" s="24"/>
      <c r="S585" s="24"/>
      <c r="T585" s="24"/>
      <c r="U585" s="24"/>
      <c r="V585" s="24"/>
      <c r="W585" s="24"/>
      <c r="X585" s="24"/>
      <c r="Y585" s="24"/>
      <c r="Z585" s="24"/>
      <c r="AA585" s="24"/>
      <c r="AB585" s="24"/>
    </row>
    <row r="586" spans="14:28" ht="15.75" customHeight="1">
      <c r="N586" s="24"/>
      <c r="O586" s="24"/>
      <c r="P586" s="24"/>
      <c r="Q586" s="24"/>
      <c r="R586" s="24"/>
      <c r="S586" s="24"/>
      <c r="T586" s="24"/>
      <c r="U586" s="24"/>
      <c r="V586" s="24"/>
      <c r="W586" s="24"/>
      <c r="X586" s="24"/>
      <c r="Y586" s="24"/>
      <c r="Z586" s="24"/>
      <c r="AA586" s="24"/>
      <c r="AB586" s="24"/>
    </row>
    <row r="587" spans="14:28" ht="15.75" customHeight="1">
      <c r="N587" s="24"/>
      <c r="O587" s="24"/>
      <c r="P587" s="24"/>
      <c r="Q587" s="24"/>
      <c r="R587" s="24"/>
      <c r="S587" s="24"/>
      <c r="T587" s="24"/>
      <c r="U587" s="24"/>
      <c r="V587" s="24"/>
      <c r="W587" s="24"/>
      <c r="X587" s="24"/>
      <c r="Y587" s="24"/>
      <c r="Z587" s="24"/>
      <c r="AA587" s="24"/>
      <c r="AB587" s="24"/>
    </row>
    <row r="588" spans="14:28" ht="15.75" customHeight="1">
      <c r="N588" s="24"/>
      <c r="O588" s="24"/>
      <c r="P588" s="24"/>
      <c r="Q588" s="24"/>
      <c r="R588" s="24"/>
      <c r="S588" s="24"/>
      <c r="T588" s="24"/>
      <c r="U588" s="24"/>
      <c r="V588" s="24"/>
      <c r="W588" s="24"/>
      <c r="X588" s="24"/>
      <c r="Y588" s="24"/>
      <c r="Z588" s="24"/>
      <c r="AA588" s="24"/>
      <c r="AB588" s="24"/>
    </row>
    <row r="589" spans="14:28" ht="15.75" customHeight="1">
      <c r="N589" s="24"/>
      <c r="O589" s="24"/>
      <c r="P589" s="24"/>
      <c r="Q589" s="24"/>
      <c r="R589" s="24"/>
      <c r="S589" s="24"/>
      <c r="T589" s="24"/>
      <c r="U589" s="24"/>
      <c r="V589" s="24"/>
      <c r="W589" s="24"/>
      <c r="X589" s="24"/>
      <c r="Y589" s="24"/>
      <c r="Z589" s="24"/>
      <c r="AA589" s="24"/>
      <c r="AB589" s="24"/>
    </row>
    <row r="590" spans="14:28" ht="15.75" customHeight="1">
      <c r="N590" s="24"/>
      <c r="O590" s="24"/>
      <c r="P590" s="24"/>
      <c r="Q590" s="24"/>
      <c r="R590" s="24"/>
      <c r="S590" s="24"/>
      <c r="T590" s="24"/>
      <c r="U590" s="24"/>
      <c r="V590" s="24"/>
      <c r="W590" s="24"/>
      <c r="X590" s="24"/>
      <c r="Y590" s="24"/>
      <c r="Z590" s="24"/>
      <c r="AA590" s="24"/>
      <c r="AB590" s="24"/>
    </row>
    <row r="591" spans="14:28" ht="15.75" customHeight="1">
      <c r="N591" s="24"/>
      <c r="O591" s="24"/>
      <c r="P591" s="24"/>
      <c r="Q591" s="24"/>
      <c r="R591" s="24"/>
      <c r="S591" s="24"/>
      <c r="T591" s="24"/>
      <c r="U591" s="24"/>
      <c r="V591" s="24"/>
      <c r="W591" s="24"/>
      <c r="X591" s="24"/>
      <c r="Y591" s="24"/>
      <c r="Z591" s="24"/>
      <c r="AA591" s="24"/>
      <c r="AB591" s="24"/>
    </row>
    <row r="592" spans="14:28" ht="15.75" customHeight="1">
      <c r="N592" s="24"/>
      <c r="O592" s="24"/>
      <c r="P592" s="24"/>
      <c r="Q592" s="24"/>
      <c r="R592" s="24"/>
      <c r="S592" s="24"/>
      <c r="T592" s="24"/>
      <c r="U592" s="24"/>
      <c r="V592" s="24"/>
      <c r="W592" s="24"/>
      <c r="X592" s="24"/>
      <c r="Y592" s="24"/>
      <c r="Z592" s="24"/>
      <c r="AA592" s="24"/>
      <c r="AB592" s="24"/>
    </row>
    <row r="593" spans="14:28" ht="15.75" customHeight="1">
      <c r="N593" s="24"/>
      <c r="O593" s="24"/>
      <c r="P593" s="24"/>
      <c r="Q593" s="24"/>
      <c r="R593" s="24"/>
      <c r="S593" s="24"/>
      <c r="T593" s="24"/>
      <c r="U593" s="24"/>
      <c r="V593" s="24"/>
      <c r="W593" s="24"/>
      <c r="X593" s="24"/>
      <c r="Y593" s="24"/>
      <c r="Z593" s="24"/>
      <c r="AA593" s="24"/>
      <c r="AB593" s="24"/>
    </row>
    <row r="594" spans="14:28" ht="15.75" customHeight="1">
      <c r="N594" s="24"/>
      <c r="O594" s="24"/>
      <c r="P594" s="24"/>
      <c r="Q594" s="24"/>
      <c r="R594" s="24"/>
      <c r="S594" s="24"/>
      <c r="T594" s="24"/>
      <c r="U594" s="24"/>
      <c r="V594" s="24"/>
      <c r="W594" s="24"/>
      <c r="X594" s="24"/>
      <c r="Y594" s="24"/>
      <c r="Z594" s="24"/>
      <c r="AA594" s="24"/>
      <c r="AB594" s="24"/>
    </row>
    <row r="595" spans="14:28" ht="15.75" customHeight="1">
      <c r="N595" s="24"/>
      <c r="O595" s="24"/>
      <c r="P595" s="24"/>
      <c r="Q595" s="24"/>
      <c r="R595" s="24"/>
      <c r="S595" s="24"/>
      <c r="T595" s="24"/>
      <c r="U595" s="24"/>
      <c r="V595" s="24"/>
      <c r="W595" s="24"/>
      <c r="X595" s="24"/>
      <c r="Y595" s="24"/>
      <c r="Z595" s="24"/>
      <c r="AA595" s="24"/>
      <c r="AB595" s="24"/>
    </row>
    <row r="596" spans="14:28" ht="15.75" customHeight="1">
      <c r="N596" s="24"/>
      <c r="O596" s="24"/>
      <c r="P596" s="24"/>
      <c r="Q596" s="24"/>
      <c r="R596" s="24"/>
      <c r="S596" s="24"/>
      <c r="T596" s="24"/>
      <c r="U596" s="24"/>
      <c r="V596" s="24"/>
      <c r="W596" s="24"/>
      <c r="X596" s="24"/>
      <c r="Y596" s="24"/>
      <c r="Z596" s="24"/>
      <c r="AA596" s="24"/>
      <c r="AB596" s="24"/>
    </row>
    <row r="597" spans="14:28" ht="15.75" customHeight="1">
      <c r="N597" s="24"/>
      <c r="O597" s="24"/>
      <c r="P597" s="24"/>
      <c r="Q597" s="24"/>
      <c r="R597" s="24"/>
      <c r="S597" s="24"/>
      <c r="T597" s="24"/>
      <c r="U597" s="24"/>
      <c r="V597" s="24"/>
      <c r="W597" s="24"/>
      <c r="X597" s="24"/>
      <c r="Y597" s="24"/>
      <c r="Z597" s="24"/>
      <c r="AA597" s="24"/>
      <c r="AB597" s="24"/>
    </row>
    <row r="598" spans="14:28" ht="15.75" customHeight="1">
      <c r="N598" s="24"/>
      <c r="O598" s="24"/>
      <c r="P598" s="24"/>
      <c r="Q598" s="24"/>
      <c r="R598" s="24"/>
      <c r="S598" s="24"/>
      <c r="T598" s="24"/>
      <c r="U598" s="24"/>
      <c r="V598" s="24"/>
      <c r="W598" s="24"/>
      <c r="X598" s="24"/>
      <c r="Y598" s="24"/>
      <c r="Z598" s="24"/>
      <c r="AA598" s="24"/>
      <c r="AB598" s="24"/>
    </row>
    <row r="599" spans="14:28" ht="15.75" customHeight="1">
      <c r="N599" s="24"/>
      <c r="O599" s="24"/>
      <c r="P599" s="24"/>
      <c r="Q599" s="24"/>
      <c r="R599" s="24"/>
      <c r="S599" s="24"/>
      <c r="T599" s="24"/>
      <c r="U599" s="24"/>
      <c r="V599" s="24"/>
      <c r="W599" s="24"/>
      <c r="X599" s="24"/>
      <c r="Y599" s="24"/>
      <c r="Z599" s="24"/>
      <c r="AA599" s="24"/>
      <c r="AB599" s="24"/>
    </row>
    <row r="600" spans="14:28" ht="15.75" customHeight="1">
      <c r="N600" s="24"/>
      <c r="O600" s="24"/>
      <c r="P600" s="24"/>
      <c r="Q600" s="24"/>
      <c r="R600" s="24"/>
      <c r="S600" s="24"/>
      <c r="T600" s="24"/>
      <c r="U600" s="24"/>
      <c r="V600" s="24"/>
      <c r="W600" s="24"/>
      <c r="X600" s="24"/>
      <c r="Y600" s="24"/>
      <c r="Z600" s="24"/>
      <c r="AA600" s="24"/>
      <c r="AB600" s="24"/>
    </row>
    <row r="601" spans="14:28" ht="15.75" customHeight="1">
      <c r="N601" s="24"/>
      <c r="O601" s="24"/>
      <c r="P601" s="24"/>
      <c r="Q601" s="24"/>
      <c r="R601" s="24"/>
      <c r="S601" s="24"/>
      <c r="T601" s="24"/>
      <c r="U601" s="24"/>
      <c r="V601" s="24"/>
      <c r="W601" s="24"/>
      <c r="X601" s="24"/>
      <c r="Y601" s="24"/>
      <c r="Z601" s="24"/>
      <c r="AA601" s="24"/>
      <c r="AB601" s="24"/>
    </row>
    <row r="602" spans="14:28" ht="15.75" customHeight="1">
      <c r="N602" s="24"/>
      <c r="O602" s="24"/>
      <c r="P602" s="24"/>
      <c r="Q602" s="24"/>
      <c r="R602" s="24"/>
      <c r="S602" s="24"/>
      <c r="T602" s="24"/>
      <c r="U602" s="24"/>
      <c r="V602" s="24"/>
      <c r="W602" s="24"/>
      <c r="X602" s="24"/>
      <c r="Y602" s="24"/>
      <c r="Z602" s="24"/>
      <c r="AA602" s="24"/>
      <c r="AB602" s="24"/>
    </row>
    <row r="603" spans="14:28" ht="15.75" customHeight="1">
      <c r="N603" s="24"/>
      <c r="O603" s="24"/>
      <c r="P603" s="24"/>
      <c r="Q603" s="24"/>
      <c r="R603" s="24"/>
      <c r="S603" s="24"/>
      <c r="T603" s="24"/>
      <c r="U603" s="24"/>
      <c r="V603" s="24"/>
      <c r="W603" s="24"/>
      <c r="X603" s="24"/>
      <c r="Y603" s="24"/>
      <c r="Z603" s="24"/>
      <c r="AA603" s="24"/>
      <c r="AB603" s="24"/>
    </row>
    <row r="604" spans="14:28" ht="15.75" customHeight="1">
      <c r="N604" s="24"/>
      <c r="O604" s="24"/>
      <c r="P604" s="24"/>
      <c r="Q604" s="24"/>
      <c r="R604" s="24"/>
      <c r="S604" s="24"/>
      <c r="T604" s="24"/>
      <c r="U604" s="24"/>
      <c r="V604" s="24"/>
      <c r="W604" s="24"/>
      <c r="X604" s="24"/>
      <c r="Y604" s="24"/>
      <c r="Z604" s="24"/>
      <c r="AA604" s="24"/>
      <c r="AB604" s="24"/>
    </row>
    <row r="605" spans="14:28" ht="15.75" customHeight="1">
      <c r="N605" s="24"/>
      <c r="O605" s="24"/>
      <c r="P605" s="24"/>
      <c r="Q605" s="24"/>
      <c r="R605" s="24"/>
      <c r="S605" s="24"/>
      <c r="T605" s="24"/>
      <c r="U605" s="24"/>
      <c r="V605" s="24"/>
      <c r="W605" s="24"/>
      <c r="X605" s="24"/>
      <c r="Y605" s="24"/>
      <c r="Z605" s="24"/>
      <c r="AA605" s="24"/>
      <c r="AB605" s="24"/>
    </row>
    <row r="606" spans="14:28" ht="15.75" customHeight="1">
      <c r="N606" s="24"/>
      <c r="O606" s="24"/>
      <c r="P606" s="24"/>
      <c r="Q606" s="24"/>
      <c r="R606" s="24"/>
      <c r="S606" s="24"/>
      <c r="T606" s="24"/>
      <c r="U606" s="24"/>
      <c r="V606" s="24"/>
      <c r="W606" s="24"/>
      <c r="X606" s="24"/>
      <c r="Y606" s="24"/>
      <c r="Z606" s="24"/>
      <c r="AA606" s="24"/>
      <c r="AB606" s="24"/>
    </row>
    <row r="607" spans="14:28" ht="15.75" customHeight="1">
      <c r="N607" s="24"/>
      <c r="O607" s="24"/>
      <c r="P607" s="24"/>
      <c r="Q607" s="24"/>
      <c r="R607" s="24"/>
      <c r="S607" s="24"/>
      <c r="T607" s="24"/>
      <c r="U607" s="24"/>
      <c r="V607" s="24"/>
      <c r="W607" s="24"/>
      <c r="X607" s="24"/>
      <c r="Y607" s="24"/>
      <c r="Z607" s="24"/>
      <c r="AA607" s="24"/>
      <c r="AB607" s="24"/>
    </row>
    <row r="608" spans="14:28" ht="15.75" customHeight="1">
      <c r="N608" s="24"/>
      <c r="O608" s="24"/>
      <c r="P608" s="24"/>
      <c r="Q608" s="24"/>
      <c r="R608" s="24"/>
      <c r="S608" s="24"/>
      <c r="T608" s="24"/>
      <c r="U608" s="24"/>
      <c r="V608" s="24"/>
      <c r="W608" s="24"/>
      <c r="X608" s="24"/>
      <c r="Y608" s="24"/>
      <c r="Z608" s="24"/>
      <c r="AA608" s="24"/>
      <c r="AB608" s="24"/>
    </row>
    <row r="609" spans="14:28" ht="15.75" customHeight="1">
      <c r="N609" s="24"/>
      <c r="O609" s="24"/>
      <c r="P609" s="24"/>
      <c r="Q609" s="24"/>
      <c r="R609" s="24"/>
      <c r="S609" s="24"/>
      <c r="T609" s="24"/>
      <c r="U609" s="24"/>
      <c r="V609" s="24"/>
      <c r="W609" s="24"/>
      <c r="X609" s="24"/>
      <c r="Y609" s="24"/>
      <c r="Z609" s="24"/>
      <c r="AA609" s="24"/>
      <c r="AB609" s="24"/>
    </row>
    <row r="610" spans="14:28" ht="15.75" customHeight="1">
      <c r="N610" s="24"/>
      <c r="O610" s="24"/>
      <c r="P610" s="24"/>
      <c r="Q610" s="24"/>
      <c r="R610" s="24"/>
      <c r="S610" s="24"/>
      <c r="T610" s="24"/>
      <c r="U610" s="24"/>
      <c r="V610" s="24"/>
      <c r="W610" s="24"/>
      <c r="X610" s="24"/>
      <c r="Y610" s="24"/>
      <c r="Z610" s="24"/>
      <c r="AA610" s="24"/>
      <c r="AB610" s="24"/>
    </row>
    <row r="611" spans="14:28" ht="15.75" customHeight="1">
      <c r="N611" s="24"/>
      <c r="O611" s="24"/>
      <c r="P611" s="24"/>
      <c r="Q611" s="24"/>
      <c r="R611" s="24"/>
      <c r="S611" s="24"/>
      <c r="T611" s="24"/>
      <c r="U611" s="24"/>
      <c r="V611" s="24"/>
      <c r="W611" s="24"/>
      <c r="X611" s="24"/>
      <c r="Y611" s="24"/>
      <c r="Z611" s="24"/>
      <c r="AA611" s="24"/>
      <c r="AB611" s="24"/>
    </row>
    <row r="612" spans="14:28" ht="15.75" customHeight="1">
      <c r="N612" s="24"/>
      <c r="O612" s="24"/>
      <c r="P612" s="24"/>
      <c r="Q612" s="24"/>
      <c r="R612" s="24"/>
      <c r="S612" s="24"/>
      <c r="T612" s="24"/>
      <c r="U612" s="24"/>
      <c r="V612" s="24"/>
      <c r="W612" s="24"/>
      <c r="X612" s="24"/>
      <c r="Y612" s="24"/>
      <c r="Z612" s="24"/>
      <c r="AA612" s="24"/>
      <c r="AB612" s="24"/>
    </row>
    <row r="613" spans="14:28" ht="15.75" customHeight="1">
      <c r="N613" s="24"/>
      <c r="O613" s="24"/>
      <c r="P613" s="24"/>
      <c r="Q613" s="24"/>
      <c r="R613" s="24"/>
      <c r="S613" s="24"/>
      <c r="T613" s="24"/>
      <c r="U613" s="24"/>
      <c r="V613" s="24"/>
      <c r="W613" s="24"/>
      <c r="X613" s="24"/>
      <c r="Y613" s="24"/>
      <c r="Z613" s="24"/>
      <c r="AA613" s="24"/>
      <c r="AB613" s="24"/>
    </row>
    <row r="614" spans="14:28" ht="15.75" customHeight="1">
      <c r="N614" s="24"/>
      <c r="O614" s="24"/>
      <c r="P614" s="24"/>
      <c r="Q614" s="24"/>
      <c r="R614" s="24"/>
      <c r="S614" s="24"/>
      <c r="T614" s="24"/>
      <c r="U614" s="24"/>
      <c r="V614" s="24"/>
      <c r="W614" s="24"/>
      <c r="X614" s="24"/>
      <c r="Y614" s="24"/>
      <c r="Z614" s="24"/>
      <c r="AA614" s="24"/>
      <c r="AB614" s="24"/>
    </row>
    <row r="615" spans="14:28" ht="15.75" customHeight="1">
      <c r="N615" s="24"/>
      <c r="O615" s="24"/>
      <c r="P615" s="24"/>
      <c r="Q615" s="24"/>
      <c r="R615" s="24"/>
      <c r="S615" s="24"/>
      <c r="T615" s="24"/>
      <c r="U615" s="24"/>
      <c r="V615" s="24"/>
      <c r="W615" s="24"/>
      <c r="X615" s="24"/>
      <c r="Y615" s="24"/>
      <c r="Z615" s="24"/>
      <c r="AA615" s="24"/>
      <c r="AB615" s="24"/>
    </row>
    <row r="616" spans="14:28" ht="15.75" customHeight="1">
      <c r="N616" s="24"/>
      <c r="O616" s="24"/>
      <c r="P616" s="24"/>
      <c r="Q616" s="24"/>
      <c r="R616" s="24"/>
      <c r="S616" s="24"/>
      <c r="T616" s="24"/>
      <c r="U616" s="24"/>
      <c r="V616" s="24"/>
      <c r="W616" s="24"/>
      <c r="X616" s="24"/>
      <c r="Y616" s="24"/>
      <c r="Z616" s="24"/>
      <c r="AA616" s="24"/>
      <c r="AB616" s="24"/>
    </row>
    <row r="617" spans="14:28" ht="15.75" customHeight="1">
      <c r="N617" s="24"/>
      <c r="O617" s="24"/>
      <c r="P617" s="24"/>
      <c r="Q617" s="24"/>
      <c r="R617" s="24"/>
      <c r="S617" s="24"/>
      <c r="T617" s="24"/>
      <c r="U617" s="24"/>
      <c r="V617" s="24"/>
      <c r="W617" s="24"/>
      <c r="X617" s="24"/>
      <c r="Y617" s="24"/>
      <c r="Z617" s="24"/>
      <c r="AA617" s="24"/>
      <c r="AB617" s="24"/>
    </row>
    <row r="618" spans="14:28" ht="15.75" customHeight="1">
      <c r="N618" s="24"/>
      <c r="O618" s="24"/>
      <c r="P618" s="24"/>
      <c r="Q618" s="24"/>
      <c r="R618" s="24"/>
      <c r="S618" s="24"/>
      <c r="T618" s="24"/>
      <c r="U618" s="24"/>
      <c r="V618" s="24"/>
      <c r="W618" s="24"/>
      <c r="X618" s="24"/>
      <c r="Y618" s="24"/>
      <c r="Z618" s="24"/>
      <c r="AA618" s="24"/>
      <c r="AB618" s="24"/>
    </row>
    <row r="619" spans="14:28" ht="15.75" customHeight="1">
      <c r="N619" s="24"/>
      <c r="O619" s="24"/>
      <c r="P619" s="24"/>
      <c r="Q619" s="24"/>
      <c r="R619" s="24"/>
      <c r="S619" s="24"/>
      <c r="T619" s="24"/>
      <c r="U619" s="24"/>
      <c r="V619" s="24"/>
      <c r="W619" s="24"/>
      <c r="X619" s="24"/>
      <c r="Y619" s="24"/>
      <c r="Z619" s="24"/>
      <c r="AA619" s="24"/>
      <c r="AB619" s="24"/>
    </row>
    <row r="620" spans="14:28" ht="15.75" customHeight="1">
      <c r="N620" s="24"/>
      <c r="O620" s="24"/>
      <c r="P620" s="24"/>
      <c r="Q620" s="24"/>
      <c r="R620" s="24"/>
      <c r="S620" s="24"/>
      <c r="T620" s="24"/>
      <c r="U620" s="24"/>
      <c r="V620" s="24"/>
      <c r="W620" s="24"/>
      <c r="X620" s="24"/>
      <c r="Y620" s="24"/>
      <c r="Z620" s="24"/>
      <c r="AA620" s="24"/>
      <c r="AB620" s="24"/>
    </row>
    <row r="621" spans="14:28" ht="15.75" customHeight="1">
      <c r="N621" s="24"/>
      <c r="O621" s="24"/>
      <c r="P621" s="24"/>
      <c r="Q621" s="24"/>
      <c r="R621" s="24"/>
      <c r="S621" s="24"/>
      <c r="T621" s="24"/>
      <c r="U621" s="24"/>
      <c r="V621" s="24"/>
      <c r="W621" s="24"/>
      <c r="X621" s="24"/>
      <c r="Y621" s="24"/>
      <c r="Z621" s="24"/>
      <c r="AA621" s="24"/>
      <c r="AB621" s="24"/>
    </row>
    <row r="622" spans="14:28" ht="15.75" customHeight="1">
      <c r="N622" s="24"/>
      <c r="O622" s="24"/>
      <c r="P622" s="24"/>
      <c r="Q622" s="24"/>
      <c r="R622" s="24"/>
      <c r="S622" s="24"/>
      <c r="T622" s="24"/>
      <c r="U622" s="24"/>
      <c r="V622" s="24"/>
      <c r="W622" s="24"/>
      <c r="X622" s="24"/>
      <c r="Y622" s="24"/>
      <c r="Z622" s="24"/>
      <c r="AA622" s="24"/>
      <c r="AB622" s="24"/>
    </row>
    <row r="623" spans="14:28" ht="15.75" customHeight="1">
      <c r="N623" s="24"/>
      <c r="O623" s="24"/>
      <c r="P623" s="24"/>
      <c r="Q623" s="24"/>
      <c r="R623" s="24"/>
      <c r="S623" s="24"/>
      <c r="T623" s="24"/>
      <c r="U623" s="24"/>
      <c r="V623" s="24"/>
      <c r="W623" s="24"/>
      <c r="X623" s="24"/>
      <c r="Y623" s="24"/>
      <c r="Z623" s="24"/>
      <c r="AA623" s="24"/>
      <c r="AB623" s="24"/>
    </row>
    <row r="624" spans="14:28" ht="15.75" customHeight="1">
      <c r="N624" s="24"/>
      <c r="O624" s="24"/>
      <c r="P624" s="24"/>
      <c r="Q624" s="24"/>
      <c r="R624" s="24"/>
      <c r="S624" s="24"/>
      <c r="T624" s="24"/>
      <c r="U624" s="24"/>
      <c r="V624" s="24"/>
      <c r="W624" s="24"/>
      <c r="X624" s="24"/>
      <c r="Y624" s="24"/>
      <c r="Z624" s="24"/>
      <c r="AA624" s="24"/>
      <c r="AB624" s="24"/>
    </row>
    <row r="625" spans="14:28" ht="15.75" customHeight="1">
      <c r="N625" s="24"/>
      <c r="O625" s="24"/>
      <c r="P625" s="24"/>
      <c r="Q625" s="24"/>
      <c r="R625" s="24"/>
      <c r="S625" s="24"/>
      <c r="T625" s="24"/>
      <c r="U625" s="24"/>
      <c r="V625" s="24"/>
      <c r="W625" s="24"/>
      <c r="X625" s="24"/>
      <c r="Y625" s="24"/>
      <c r="Z625" s="24"/>
      <c r="AA625" s="24"/>
      <c r="AB625" s="24"/>
    </row>
    <row r="626" spans="14:28" ht="15.75" customHeight="1">
      <c r="N626" s="24"/>
      <c r="O626" s="24"/>
      <c r="P626" s="24"/>
      <c r="Q626" s="24"/>
      <c r="R626" s="24"/>
      <c r="S626" s="24"/>
      <c r="T626" s="24"/>
      <c r="U626" s="24"/>
      <c r="V626" s="24"/>
      <c r="W626" s="24"/>
      <c r="X626" s="24"/>
      <c r="Y626" s="24"/>
      <c r="Z626" s="24"/>
      <c r="AA626" s="24"/>
      <c r="AB626" s="24"/>
    </row>
    <row r="627" spans="14:28" ht="15.75" customHeight="1">
      <c r="N627" s="24"/>
      <c r="O627" s="24"/>
      <c r="P627" s="24"/>
      <c r="Q627" s="24"/>
      <c r="R627" s="24"/>
      <c r="S627" s="24"/>
      <c r="T627" s="24"/>
      <c r="U627" s="24"/>
      <c r="V627" s="24"/>
      <c r="W627" s="24"/>
      <c r="X627" s="24"/>
      <c r="Y627" s="24"/>
      <c r="Z627" s="24"/>
      <c r="AA627" s="24"/>
      <c r="AB627" s="24"/>
    </row>
    <row r="628" spans="14:28" ht="15.75" customHeight="1">
      <c r="N628" s="24"/>
      <c r="O628" s="24"/>
      <c r="P628" s="24"/>
      <c r="Q628" s="24"/>
      <c r="R628" s="24"/>
      <c r="S628" s="24"/>
      <c r="T628" s="24"/>
      <c r="U628" s="24"/>
      <c r="V628" s="24"/>
      <c r="W628" s="24"/>
      <c r="X628" s="24"/>
      <c r="Y628" s="24"/>
      <c r="Z628" s="24"/>
      <c r="AA628" s="24"/>
      <c r="AB628" s="24"/>
    </row>
    <row r="629" spans="14:28" ht="15.75" customHeight="1">
      <c r="N629" s="24"/>
      <c r="O629" s="24"/>
      <c r="P629" s="24"/>
      <c r="Q629" s="24"/>
      <c r="R629" s="24"/>
      <c r="S629" s="24"/>
      <c r="T629" s="24"/>
      <c r="U629" s="24"/>
      <c r="V629" s="24"/>
      <c r="W629" s="24"/>
      <c r="X629" s="24"/>
      <c r="Y629" s="24"/>
      <c r="Z629" s="24"/>
      <c r="AA629" s="24"/>
      <c r="AB629" s="24"/>
    </row>
    <row r="630" spans="14:28" ht="15.75" customHeight="1">
      <c r="N630" s="24"/>
      <c r="O630" s="24"/>
      <c r="P630" s="24"/>
      <c r="Q630" s="24"/>
      <c r="R630" s="24"/>
      <c r="S630" s="24"/>
      <c r="T630" s="24"/>
      <c r="U630" s="24"/>
      <c r="V630" s="24"/>
      <c r="W630" s="24"/>
      <c r="X630" s="24"/>
      <c r="Y630" s="24"/>
      <c r="Z630" s="24"/>
      <c r="AA630" s="24"/>
      <c r="AB630" s="24"/>
    </row>
    <row r="631" spans="14:28" ht="15.75" customHeight="1">
      <c r="N631" s="24"/>
      <c r="O631" s="24"/>
      <c r="P631" s="24"/>
      <c r="Q631" s="24"/>
      <c r="R631" s="24"/>
      <c r="S631" s="24"/>
      <c r="T631" s="24"/>
      <c r="U631" s="24"/>
      <c r="V631" s="24"/>
      <c r="W631" s="24"/>
      <c r="X631" s="24"/>
      <c r="Y631" s="24"/>
      <c r="Z631" s="24"/>
      <c r="AA631" s="24"/>
      <c r="AB631" s="24"/>
    </row>
    <row r="632" spans="14:28" ht="15.75" customHeight="1">
      <c r="N632" s="24"/>
      <c r="O632" s="24"/>
      <c r="P632" s="24"/>
      <c r="Q632" s="24"/>
      <c r="R632" s="24"/>
      <c r="S632" s="24"/>
      <c r="T632" s="24"/>
      <c r="U632" s="24"/>
      <c r="V632" s="24"/>
      <c r="W632" s="24"/>
      <c r="X632" s="24"/>
      <c r="Y632" s="24"/>
      <c r="Z632" s="24"/>
      <c r="AA632" s="24"/>
      <c r="AB632" s="24"/>
    </row>
    <row r="633" spans="14:28" ht="15.75" customHeight="1">
      <c r="N633" s="24"/>
      <c r="O633" s="24"/>
      <c r="P633" s="24"/>
      <c r="Q633" s="24"/>
      <c r="R633" s="24"/>
      <c r="S633" s="24"/>
      <c r="T633" s="24"/>
      <c r="U633" s="24"/>
      <c r="V633" s="24"/>
      <c r="W633" s="24"/>
      <c r="X633" s="24"/>
      <c r="Y633" s="24"/>
      <c r="Z633" s="24"/>
      <c r="AA633" s="24"/>
      <c r="AB633" s="24"/>
    </row>
    <row r="634" spans="14:28" ht="15.75" customHeight="1">
      <c r="N634" s="24"/>
      <c r="O634" s="24"/>
      <c r="P634" s="24"/>
      <c r="Q634" s="24"/>
      <c r="R634" s="24"/>
      <c r="S634" s="24"/>
      <c r="T634" s="24"/>
      <c r="U634" s="24"/>
      <c r="V634" s="24"/>
      <c r="W634" s="24"/>
      <c r="X634" s="24"/>
      <c r="Y634" s="24"/>
      <c r="Z634" s="24"/>
      <c r="AA634" s="24"/>
      <c r="AB634" s="24"/>
    </row>
    <row r="635" spans="14:28" ht="15.75" customHeight="1">
      <c r="N635" s="24"/>
      <c r="O635" s="24"/>
      <c r="P635" s="24"/>
      <c r="Q635" s="24"/>
      <c r="R635" s="24"/>
      <c r="S635" s="24"/>
      <c r="T635" s="24"/>
      <c r="U635" s="24"/>
      <c r="V635" s="24"/>
      <c r="W635" s="24"/>
      <c r="X635" s="24"/>
      <c r="Y635" s="24"/>
      <c r="Z635" s="24"/>
      <c r="AA635" s="24"/>
      <c r="AB635" s="24"/>
    </row>
    <row r="636" spans="14:28" ht="15.75" customHeight="1">
      <c r="N636" s="24"/>
      <c r="O636" s="24"/>
      <c r="P636" s="24"/>
      <c r="Q636" s="24"/>
      <c r="R636" s="24"/>
      <c r="S636" s="24"/>
      <c r="T636" s="24"/>
      <c r="U636" s="24"/>
      <c r="V636" s="24"/>
      <c r="W636" s="24"/>
      <c r="X636" s="24"/>
      <c r="Y636" s="24"/>
      <c r="Z636" s="24"/>
      <c r="AA636" s="24"/>
      <c r="AB636" s="24"/>
    </row>
    <row r="637" spans="14:28" ht="15.75" customHeight="1">
      <c r="N637" s="24"/>
      <c r="O637" s="24"/>
      <c r="P637" s="24"/>
      <c r="Q637" s="24"/>
      <c r="R637" s="24"/>
      <c r="S637" s="24"/>
      <c r="T637" s="24"/>
      <c r="U637" s="24"/>
      <c r="V637" s="24"/>
      <c r="W637" s="24"/>
      <c r="X637" s="24"/>
      <c r="Y637" s="24"/>
      <c r="Z637" s="24"/>
      <c r="AA637" s="24"/>
      <c r="AB637" s="24"/>
    </row>
    <row r="638" spans="14:28" ht="15.75" customHeight="1">
      <c r="N638" s="24"/>
      <c r="O638" s="24"/>
      <c r="P638" s="24"/>
      <c r="Q638" s="24"/>
      <c r="R638" s="24"/>
      <c r="S638" s="24"/>
      <c r="T638" s="24"/>
      <c r="U638" s="24"/>
      <c r="V638" s="24"/>
      <c r="W638" s="24"/>
      <c r="X638" s="24"/>
      <c r="Y638" s="24"/>
      <c r="Z638" s="24"/>
      <c r="AA638" s="24"/>
      <c r="AB638" s="24"/>
    </row>
    <row r="639" spans="14:28" ht="15.75" customHeight="1">
      <c r="N639" s="24"/>
      <c r="O639" s="24"/>
      <c r="P639" s="24"/>
      <c r="Q639" s="24"/>
      <c r="R639" s="24"/>
      <c r="S639" s="24"/>
      <c r="T639" s="24"/>
      <c r="U639" s="24"/>
      <c r="V639" s="24"/>
      <c r="W639" s="24"/>
      <c r="X639" s="24"/>
      <c r="Y639" s="24"/>
      <c r="Z639" s="24"/>
      <c r="AA639" s="24"/>
      <c r="AB639" s="24"/>
    </row>
    <row r="640" spans="14:28" ht="15.75" customHeight="1">
      <c r="N640" s="24"/>
      <c r="O640" s="24"/>
      <c r="P640" s="24"/>
      <c r="Q640" s="24"/>
      <c r="R640" s="24"/>
      <c r="S640" s="24"/>
      <c r="T640" s="24"/>
      <c r="U640" s="24"/>
      <c r="V640" s="24"/>
      <c r="W640" s="24"/>
      <c r="X640" s="24"/>
      <c r="Y640" s="24"/>
      <c r="Z640" s="24"/>
      <c r="AA640" s="24"/>
      <c r="AB640" s="24"/>
    </row>
    <row r="641" spans="14:28" ht="15.75" customHeight="1">
      <c r="N641" s="24"/>
      <c r="O641" s="24"/>
      <c r="P641" s="24"/>
      <c r="Q641" s="24"/>
      <c r="R641" s="24"/>
      <c r="S641" s="24"/>
      <c r="T641" s="24"/>
      <c r="U641" s="24"/>
      <c r="V641" s="24"/>
      <c r="W641" s="24"/>
      <c r="X641" s="24"/>
      <c r="Y641" s="24"/>
      <c r="Z641" s="24"/>
      <c r="AA641" s="24"/>
      <c r="AB641" s="24"/>
    </row>
    <row r="642" spans="14:28" ht="15.75" customHeight="1">
      <c r="N642" s="24"/>
      <c r="O642" s="24"/>
      <c r="P642" s="24"/>
      <c r="Q642" s="24"/>
      <c r="R642" s="24"/>
      <c r="S642" s="24"/>
      <c r="T642" s="24"/>
      <c r="U642" s="24"/>
      <c r="V642" s="24"/>
      <c r="W642" s="24"/>
      <c r="X642" s="24"/>
      <c r="Y642" s="24"/>
      <c r="Z642" s="24"/>
      <c r="AA642" s="24"/>
      <c r="AB642" s="24"/>
    </row>
    <row r="643" spans="14:28" ht="15.75" customHeight="1">
      <c r="N643" s="24"/>
      <c r="O643" s="24"/>
      <c r="P643" s="24"/>
      <c r="Q643" s="24"/>
      <c r="R643" s="24"/>
      <c r="S643" s="24"/>
      <c r="T643" s="24"/>
      <c r="U643" s="24"/>
      <c r="V643" s="24"/>
      <c r="W643" s="24"/>
      <c r="X643" s="24"/>
      <c r="Y643" s="24"/>
      <c r="Z643" s="24"/>
      <c r="AA643" s="24"/>
      <c r="AB643" s="24"/>
    </row>
    <row r="644" spans="14:28" ht="15.75" customHeight="1">
      <c r="N644" s="24"/>
      <c r="O644" s="24"/>
      <c r="P644" s="24"/>
      <c r="Q644" s="24"/>
      <c r="R644" s="24"/>
      <c r="S644" s="24"/>
      <c r="T644" s="24"/>
      <c r="U644" s="24"/>
      <c r="V644" s="24"/>
      <c r="W644" s="24"/>
      <c r="X644" s="24"/>
      <c r="Y644" s="24"/>
      <c r="Z644" s="24"/>
      <c r="AA644" s="24"/>
      <c r="AB644" s="24"/>
    </row>
    <row r="645" spans="14:28" ht="15.75" customHeight="1">
      <c r="N645" s="24"/>
      <c r="O645" s="24"/>
      <c r="P645" s="24"/>
      <c r="Q645" s="24"/>
      <c r="R645" s="24"/>
      <c r="S645" s="24"/>
      <c r="T645" s="24"/>
      <c r="U645" s="24"/>
      <c r="V645" s="24"/>
      <c r="W645" s="24"/>
      <c r="X645" s="24"/>
      <c r="Y645" s="24"/>
      <c r="Z645" s="24"/>
      <c r="AA645" s="24"/>
      <c r="AB645" s="24"/>
    </row>
    <row r="646" spans="14:28" ht="15.75" customHeight="1">
      <c r="N646" s="24"/>
      <c r="O646" s="24"/>
      <c r="P646" s="24"/>
      <c r="Q646" s="24"/>
      <c r="R646" s="24"/>
      <c r="S646" s="24"/>
      <c r="T646" s="24"/>
      <c r="U646" s="24"/>
      <c r="V646" s="24"/>
      <c r="W646" s="24"/>
      <c r="X646" s="24"/>
      <c r="Y646" s="24"/>
      <c r="Z646" s="24"/>
      <c r="AA646" s="24"/>
      <c r="AB646" s="24"/>
    </row>
    <row r="647" spans="14:28" ht="15.75" customHeight="1">
      <c r="N647" s="24"/>
      <c r="O647" s="24"/>
      <c r="P647" s="24"/>
      <c r="Q647" s="24"/>
      <c r="R647" s="24"/>
      <c r="S647" s="24"/>
      <c r="T647" s="24"/>
      <c r="U647" s="24"/>
      <c r="V647" s="24"/>
      <c r="W647" s="24"/>
      <c r="X647" s="24"/>
      <c r="Y647" s="24"/>
      <c r="Z647" s="24"/>
      <c r="AA647" s="24"/>
      <c r="AB647" s="24"/>
    </row>
    <row r="648" spans="14:28" ht="15.75" customHeight="1">
      <c r="N648" s="24"/>
      <c r="O648" s="24"/>
      <c r="P648" s="24"/>
      <c r="Q648" s="24"/>
      <c r="R648" s="24"/>
      <c r="S648" s="24"/>
      <c r="T648" s="24"/>
      <c r="U648" s="24"/>
      <c r="V648" s="24"/>
      <c r="W648" s="24"/>
      <c r="X648" s="24"/>
      <c r="Y648" s="24"/>
      <c r="Z648" s="24"/>
      <c r="AA648" s="24"/>
      <c r="AB648" s="24"/>
    </row>
    <row r="649" spans="14:28" ht="15.75" customHeight="1">
      <c r="N649" s="24"/>
      <c r="O649" s="24"/>
      <c r="P649" s="24"/>
      <c r="Q649" s="24"/>
      <c r="R649" s="24"/>
      <c r="S649" s="24"/>
      <c r="T649" s="24"/>
      <c r="U649" s="24"/>
      <c r="V649" s="24"/>
      <c r="W649" s="24"/>
      <c r="X649" s="24"/>
      <c r="Y649" s="24"/>
      <c r="Z649" s="24"/>
      <c r="AA649" s="24"/>
      <c r="AB649" s="24"/>
    </row>
    <row r="650" spans="14:28" ht="15.75" customHeight="1">
      <c r="N650" s="24"/>
      <c r="O650" s="24"/>
      <c r="P650" s="24"/>
      <c r="Q650" s="24"/>
      <c r="R650" s="24"/>
      <c r="S650" s="24"/>
      <c r="T650" s="24"/>
      <c r="U650" s="24"/>
      <c r="V650" s="24"/>
      <c r="W650" s="24"/>
      <c r="X650" s="24"/>
      <c r="Y650" s="24"/>
      <c r="Z650" s="24"/>
      <c r="AA650" s="24"/>
      <c r="AB650" s="24"/>
    </row>
    <row r="651" spans="14:28" ht="15.75" customHeight="1">
      <c r="N651" s="24"/>
      <c r="O651" s="24"/>
      <c r="P651" s="24"/>
      <c r="Q651" s="24"/>
      <c r="R651" s="24"/>
      <c r="S651" s="24"/>
      <c r="T651" s="24"/>
      <c r="U651" s="24"/>
      <c r="V651" s="24"/>
      <c r="W651" s="24"/>
      <c r="X651" s="24"/>
      <c r="Y651" s="24"/>
      <c r="Z651" s="24"/>
      <c r="AA651" s="24"/>
      <c r="AB651" s="24"/>
    </row>
    <row r="652" spans="14:28" ht="15.75" customHeight="1">
      <c r="N652" s="24"/>
      <c r="O652" s="24"/>
      <c r="P652" s="24"/>
      <c r="Q652" s="24"/>
      <c r="R652" s="24"/>
      <c r="S652" s="24"/>
      <c r="T652" s="24"/>
      <c r="U652" s="24"/>
      <c r="V652" s="24"/>
      <c r="W652" s="24"/>
      <c r="X652" s="24"/>
      <c r="Y652" s="24"/>
      <c r="Z652" s="24"/>
      <c r="AA652" s="24"/>
      <c r="AB652" s="24"/>
    </row>
    <row r="653" spans="14:28" ht="15.75" customHeight="1">
      <c r="N653" s="24"/>
      <c r="O653" s="24"/>
      <c r="P653" s="24"/>
      <c r="Q653" s="24"/>
      <c r="R653" s="24"/>
      <c r="S653" s="24"/>
      <c r="T653" s="24"/>
      <c r="U653" s="24"/>
      <c r="V653" s="24"/>
      <c r="W653" s="24"/>
      <c r="X653" s="24"/>
      <c r="Y653" s="24"/>
      <c r="Z653" s="24"/>
      <c r="AA653" s="24"/>
      <c r="AB653" s="24"/>
    </row>
    <row r="654" spans="14:28" ht="15.75" customHeight="1">
      <c r="N654" s="24"/>
      <c r="O654" s="24"/>
      <c r="P654" s="24"/>
      <c r="Q654" s="24"/>
      <c r="R654" s="24"/>
      <c r="S654" s="24"/>
      <c r="T654" s="24"/>
      <c r="U654" s="24"/>
      <c r="V654" s="24"/>
      <c r="W654" s="24"/>
      <c r="X654" s="24"/>
      <c r="Y654" s="24"/>
      <c r="Z654" s="24"/>
      <c r="AA654" s="24"/>
      <c r="AB654" s="24"/>
    </row>
    <row r="655" spans="14:28" ht="15.75" customHeight="1">
      <c r="N655" s="24"/>
      <c r="O655" s="24"/>
      <c r="P655" s="24"/>
      <c r="Q655" s="24"/>
      <c r="R655" s="24"/>
      <c r="S655" s="24"/>
      <c r="T655" s="24"/>
      <c r="U655" s="24"/>
      <c r="V655" s="24"/>
      <c r="W655" s="24"/>
      <c r="X655" s="24"/>
      <c r="Y655" s="24"/>
      <c r="Z655" s="24"/>
      <c r="AA655" s="24"/>
      <c r="AB655" s="24"/>
    </row>
    <row r="656" spans="14:28" ht="15.75" customHeight="1">
      <c r="N656" s="24"/>
      <c r="O656" s="24"/>
      <c r="P656" s="24"/>
      <c r="Q656" s="24"/>
      <c r="R656" s="24"/>
      <c r="S656" s="24"/>
      <c r="T656" s="24"/>
      <c r="U656" s="24"/>
      <c r="V656" s="24"/>
      <c r="W656" s="24"/>
      <c r="X656" s="24"/>
      <c r="Y656" s="24"/>
      <c r="Z656" s="24"/>
      <c r="AA656" s="24"/>
      <c r="AB656" s="24"/>
    </row>
    <row r="657" spans="14:28" ht="15.75" customHeight="1">
      <c r="N657" s="24"/>
      <c r="O657" s="24"/>
      <c r="P657" s="24"/>
      <c r="Q657" s="24"/>
      <c r="R657" s="24"/>
      <c r="S657" s="24"/>
      <c r="T657" s="24"/>
      <c r="U657" s="24"/>
      <c r="V657" s="24"/>
      <c r="W657" s="24"/>
      <c r="X657" s="24"/>
      <c r="Y657" s="24"/>
      <c r="Z657" s="24"/>
      <c r="AA657" s="24"/>
      <c r="AB657" s="24"/>
    </row>
    <row r="658" spans="14:28" ht="15.75" customHeight="1">
      <c r="N658" s="24"/>
      <c r="O658" s="24"/>
      <c r="P658" s="24"/>
      <c r="Q658" s="24"/>
      <c r="R658" s="24"/>
      <c r="S658" s="24"/>
      <c r="T658" s="24"/>
      <c r="U658" s="24"/>
      <c r="V658" s="24"/>
      <c r="W658" s="24"/>
      <c r="X658" s="24"/>
      <c r="Y658" s="24"/>
      <c r="Z658" s="24"/>
      <c r="AA658" s="24"/>
      <c r="AB658" s="24"/>
    </row>
    <row r="659" spans="14:28" ht="15.75" customHeight="1">
      <c r="N659" s="24"/>
      <c r="O659" s="24"/>
      <c r="P659" s="24"/>
      <c r="Q659" s="24"/>
      <c r="R659" s="24"/>
      <c r="S659" s="24"/>
      <c r="T659" s="24"/>
      <c r="U659" s="24"/>
      <c r="V659" s="24"/>
      <c r="W659" s="24"/>
      <c r="X659" s="24"/>
      <c r="Y659" s="24"/>
      <c r="Z659" s="24"/>
      <c r="AA659" s="24"/>
      <c r="AB659" s="24"/>
    </row>
    <row r="660" spans="14:28" ht="15.75" customHeight="1">
      <c r="N660" s="24"/>
      <c r="O660" s="24"/>
      <c r="P660" s="24"/>
      <c r="Q660" s="24"/>
      <c r="R660" s="24"/>
      <c r="S660" s="24"/>
      <c r="T660" s="24"/>
      <c r="U660" s="24"/>
      <c r="V660" s="24"/>
      <c r="W660" s="24"/>
      <c r="X660" s="24"/>
      <c r="Y660" s="24"/>
      <c r="Z660" s="24"/>
      <c r="AA660" s="24"/>
      <c r="AB660" s="24"/>
    </row>
    <row r="661" spans="14:28" ht="15.75" customHeight="1">
      <c r="N661" s="24"/>
      <c r="O661" s="24"/>
      <c r="P661" s="24"/>
      <c r="Q661" s="24"/>
      <c r="R661" s="24"/>
      <c r="S661" s="24"/>
      <c r="T661" s="24"/>
      <c r="U661" s="24"/>
      <c r="V661" s="24"/>
      <c r="W661" s="24"/>
      <c r="X661" s="24"/>
      <c r="Y661" s="24"/>
      <c r="Z661" s="24"/>
      <c r="AA661" s="24"/>
      <c r="AB661" s="24"/>
    </row>
    <row r="662" spans="14:28" ht="15.75" customHeight="1">
      <c r="N662" s="24"/>
      <c r="O662" s="24"/>
      <c r="P662" s="24"/>
      <c r="Q662" s="24"/>
      <c r="R662" s="24"/>
      <c r="S662" s="24"/>
      <c r="T662" s="24"/>
      <c r="U662" s="24"/>
      <c r="V662" s="24"/>
      <c r="W662" s="24"/>
      <c r="X662" s="24"/>
      <c r="Y662" s="24"/>
      <c r="Z662" s="24"/>
      <c r="AA662" s="24"/>
      <c r="AB662" s="24"/>
    </row>
    <row r="663" spans="14:28" ht="15.75" customHeight="1">
      <c r="N663" s="24"/>
      <c r="O663" s="24"/>
      <c r="P663" s="24"/>
      <c r="Q663" s="24"/>
      <c r="R663" s="24"/>
      <c r="S663" s="24"/>
      <c r="T663" s="24"/>
      <c r="U663" s="24"/>
      <c r="V663" s="24"/>
      <c r="W663" s="24"/>
      <c r="X663" s="24"/>
      <c r="Y663" s="24"/>
      <c r="Z663" s="24"/>
      <c r="AA663" s="24"/>
      <c r="AB663" s="24"/>
    </row>
    <row r="664" spans="14:28" ht="15.75" customHeight="1">
      <c r="N664" s="24"/>
      <c r="O664" s="24"/>
      <c r="P664" s="24"/>
      <c r="Q664" s="24"/>
      <c r="R664" s="24"/>
      <c r="S664" s="24"/>
      <c r="T664" s="24"/>
      <c r="U664" s="24"/>
      <c r="V664" s="24"/>
      <c r="W664" s="24"/>
      <c r="X664" s="24"/>
      <c r="Y664" s="24"/>
      <c r="Z664" s="24"/>
      <c r="AA664" s="24"/>
      <c r="AB664" s="24"/>
    </row>
    <row r="665" spans="14:28" ht="15.75" customHeight="1">
      <c r="N665" s="24"/>
      <c r="O665" s="24"/>
      <c r="P665" s="24"/>
      <c r="Q665" s="24"/>
      <c r="R665" s="24"/>
      <c r="S665" s="24"/>
      <c r="T665" s="24"/>
      <c r="U665" s="24"/>
      <c r="V665" s="24"/>
      <c r="W665" s="24"/>
      <c r="X665" s="24"/>
      <c r="Y665" s="24"/>
      <c r="Z665" s="24"/>
      <c r="AA665" s="24"/>
      <c r="AB665" s="24"/>
    </row>
    <row r="666" spans="14:28" ht="15.75" customHeight="1">
      <c r="N666" s="24"/>
      <c r="O666" s="24"/>
      <c r="P666" s="24"/>
      <c r="Q666" s="24"/>
      <c r="R666" s="24"/>
      <c r="S666" s="24"/>
      <c r="T666" s="24"/>
      <c r="U666" s="24"/>
      <c r="V666" s="24"/>
      <c r="W666" s="24"/>
      <c r="X666" s="24"/>
      <c r="Y666" s="24"/>
      <c r="Z666" s="24"/>
      <c r="AA666" s="24"/>
      <c r="AB666" s="24"/>
    </row>
    <row r="667" spans="14:28" ht="15.75" customHeight="1">
      <c r="N667" s="24"/>
      <c r="O667" s="24"/>
      <c r="P667" s="24"/>
      <c r="Q667" s="24"/>
      <c r="R667" s="24"/>
      <c r="S667" s="24"/>
      <c r="T667" s="24"/>
      <c r="U667" s="24"/>
      <c r="V667" s="24"/>
      <c r="W667" s="24"/>
      <c r="X667" s="24"/>
      <c r="Y667" s="24"/>
      <c r="Z667" s="24"/>
      <c r="AA667" s="24"/>
      <c r="AB667" s="24"/>
    </row>
    <row r="668" spans="14:28" ht="15.75" customHeight="1">
      <c r="N668" s="24"/>
      <c r="O668" s="24"/>
      <c r="P668" s="24"/>
      <c r="Q668" s="24"/>
      <c r="R668" s="24"/>
      <c r="S668" s="24"/>
      <c r="T668" s="24"/>
      <c r="U668" s="24"/>
      <c r="V668" s="24"/>
      <c r="W668" s="24"/>
      <c r="X668" s="24"/>
      <c r="Y668" s="24"/>
      <c r="Z668" s="24"/>
      <c r="AA668" s="24"/>
      <c r="AB668" s="24"/>
    </row>
    <row r="669" spans="14:28" ht="15.75" customHeight="1">
      <c r="N669" s="24"/>
      <c r="O669" s="24"/>
      <c r="P669" s="24"/>
      <c r="Q669" s="24"/>
      <c r="R669" s="24"/>
      <c r="S669" s="24"/>
      <c r="T669" s="24"/>
      <c r="U669" s="24"/>
      <c r="V669" s="24"/>
      <c r="W669" s="24"/>
      <c r="X669" s="24"/>
      <c r="Y669" s="24"/>
      <c r="Z669" s="24"/>
      <c r="AA669" s="24"/>
      <c r="AB669" s="24"/>
    </row>
    <row r="670" spans="14:28" ht="15.75" customHeight="1">
      <c r="N670" s="24"/>
      <c r="O670" s="24"/>
      <c r="P670" s="24"/>
      <c r="Q670" s="24"/>
      <c r="R670" s="24"/>
      <c r="S670" s="24"/>
      <c r="T670" s="24"/>
      <c r="U670" s="24"/>
      <c r="V670" s="24"/>
      <c r="W670" s="24"/>
      <c r="X670" s="24"/>
      <c r="Y670" s="24"/>
      <c r="Z670" s="24"/>
      <c r="AA670" s="24"/>
      <c r="AB670" s="24"/>
    </row>
    <row r="671" spans="14:28" ht="15.75" customHeight="1">
      <c r="N671" s="24"/>
      <c r="O671" s="24"/>
      <c r="P671" s="24"/>
      <c r="Q671" s="24"/>
      <c r="R671" s="24"/>
      <c r="S671" s="24"/>
      <c r="T671" s="24"/>
      <c r="U671" s="24"/>
      <c r="V671" s="24"/>
      <c r="W671" s="24"/>
      <c r="X671" s="24"/>
      <c r="Y671" s="24"/>
      <c r="Z671" s="24"/>
      <c r="AA671" s="24"/>
      <c r="AB671" s="24"/>
    </row>
    <row r="672" spans="14:28" ht="15.75" customHeight="1">
      <c r="N672" s="24"/>
      <c r="O672" s="24"/>
      <c r="P672" s="24"/>
      <c r="Q672" s="24"/>
      <c r="R672" s="24"/>
      <c r="S672" s="24"/>
      <c r="T672" s="24"/>
      <c r="U672" s="24"/>
      <c r="V672" s="24"/>
      <c r="W672" s="24"/>
      <c r="X672" s="24"/>
      <c r="Y672" s="24"/>
      <c r="Z672" s="24"/>
      <c r="AA672" s="24"/>
      <c r="AB672" s="24"/>
    </row>
    <row r="673" spans="14:28" ht="15.75" customHeight="1">
      <c r="N673" s="24"/>
      <c r="O673" s="24"/>
      <c r="P673" s="24"/>
      <c r="Q673" s="24"/>
      <c r="R673" s="24"/>
      <c r="S673" s="24"/>
      <c r="T673" s="24"/>
      <c r="U673" s="24"/>
      <c r="V673" s="24"/>
      <c r="W673" s="24"/>
      <c r="X673" s="24"/>
      <c r="Y673" s="24"/>
      <c r="Z673" s="24"/>
      <c r="AA673" s="24"/>
      <c r="AB673" s="24"/>
    </row>
    <row r="674" spans="14:28" ht="15.75" customHeight="1">
      <c r="N674" s="24"/>
      <c r="O674" s="24"/>
      <c r="P674" s="24"/>
      <c r="Q674" s="24"/>
      <c r="R674" s="24"/>
      <c r="S674" s="24"/>
      <c r="T674" s="24"/>
      <c r="U674" s="24"/>
      <c r="V674" s="24"/>
      <c r="W674" s="24"/>
      <c r="X674" s="24"/>
      <c r="Y674" s="24"/>
      <c r="Z674" s="24"/>
      <c r="AA674" s="24"/>
      <c r="AB674" s="24"/>
    </row>
    <row r="675" spans="14:28" ht="15.75" customHeight="1">
      <c r="N675" s="24"/>
      <c r="O675" s="24"/>
      <c r="P675" s="24"/>
      <c r="Q675" s="24"/>
      <c r="R675" s="24"/>
      <c r="S675" s="24"/>
      <c r="T675" s="24"/>
      <c r="U675" s="24"/>
      <c r="V675" s="24"/>
      <c r="W675" s="24"/>
      <c r="X675" s="24"/>
      <c r="Y675" s="24"/>
      <c r="Z675" s="24"/>
      <c r="AA675" s="24"/>
      <c r="AB675" s="24"/>
    </row>
    <row r="676" spans="14:28" ht="15.75" customHeight="1">
      <c r="N676" s="24"/>
      <c r="O676" s="24"/>
      <c r="P676" s="24"/>
      <c r="Q676" s="24"/>
      <c r="R676" s="24"/>
      <c r="S676" s="24"/>
      <c r="T676" s="24"/>
      <c r="U676" s="24"/>
      <c r="V676" s="24"/>
      <c r="W676" s="24"/>
      <c r="X676" s="24"/>
      <c r="Y676" s="24"/>
      <c r="Z676" s="24"/>
      <c r="AA676" s="24"/>
      <c r="AB676" s="24"/>
    </row>
    <row r="677" spans="14:28" ht="15.75" customHeight="1">
      <c r="N677" s="24"/>
      <c r="O677" s="24"/>
      <c r="P677" s="24"/>
      <c r="Q677" s="24"/>
      <c r="R677" s="24"/>
      <c r="S677" s="24"/>
      <c r="T677" s="24"/>
      <c r="U677" s="24"/>
      <c r="V677" s="24"/>
      <c r="W677" s="24"/>
      <c r="X677" s="24"/>
      <c r="Y677" s="24"/>
      <c r="Z677" s="24"/>
      <c r="AA677" s="24"/>
      <c r="AB677" s="24"/>
    </row>
    <row r="678" spans="14:28" ht="15.75" customHeight="1">
      <c r="N678" s="24"/>
      <c r="O678" s="24"/>
      <c r="P678" s="24"/>
      <c r="Q678" s="24"/>
      <c r="R678" s="24"/>
      <c r="S678" s="24"/>
      <c r="T678" s="24"/>
      <c r="U678" s="24"/>
      <c r="V678" s="24"/>
      <c r="W678" s="24"/>
      <c r="X678" s="24"/>
      <c r="Y678" s="24"/>
      <c r="Z678" s="24"/>
      <c r="AA678" s="24"/>
      <c r="AB678" s="24"/>
    </row>
    <row r="679" spans="14:28" ht="15.75" customHeight="1">
      <c r="N679" s="24"/>
      <c r="O679" s="24"/>
      <c r="P679" s="24"/>
      <c r="Q679" s="24"/>
      <c r="R679" s="24"/>
      <c r="S679" s="24"/>
      <c r="T679" s="24"/>
      <c r="U679" s="24"/>
      <c r="V679" s="24"/>
      <c r="W679" s="24"/>
      <c r="X679" s="24"/>
      <c r="Y679" s="24"/>
      <c r="Z679" s="24"/>
      <c r="AA679" s="24"/>
      <c r="AB679" s="24"/>
    </row>
    <row r="680" spans="14:28" ht="15.75" customHeight="1">
      <c r="N680" s="24"/>
      <c r="O680" s="24"/>
      <c r="P680" s="24"/>
      <c r="Q680" s="24"/>
      <c r="R680" s="24"/>
      <c r="S680" s="24"/>
      <c r="T680" s="24"/>
      <c r="U680" s="24"/>
      <c r="V680" s="24"/>
      <c r="W680" s="24"/>
      <c r="X680" s="24"/>
      <c r="Y680" s="24"/>
      <c r="Z680" s="24"/>
      <c r="AA680" s="24"/>
      <c r="AB680" s="24"/>
    </row>
    <row r="681" spans="14:28" ht="15.75" customHeight="1">
      <c r="N681" s="24"/>
      <c r="O681" s="24"/>
      <c r="P681" s="24"/>
      <c r="Q681" s="24"/>
      <c r="R681" s="24"/>
      <c r="S681" s="24"/>
      <c r="T681" s="24"/>
      <c r="U681" s="24"/>
      <c r="V681" s="24"/>
      <c r="W681" s="24"/>
      <c r="X681" s="24"/>
      <c r="Y681" s="24"/>
      <c r="Z681" s="24"/>
      <c r="AA681" s="24"/>
      <c r="AB681" s="24"/>
    </row>
    <row r="682" spans="14:28" ht="15.75" customHeight="1">
      <c r="N682" s="24"/>
      <c r="O682" s="24"/>
      <c r="P682" s="24"/>
      <c r="Q682" s="24"/>
      <c r="R682" s="24"/>
      <c r="S682" s="24"/>
      <c r="T682" s="24"/>
      <c r="U682" s="24"/>
      <c r="V682" s="24"/>
      <c r="W682" s="24"/>
      <c r="X682" s="24"/>
      <c r="Y682" s="24"/>
      <c r="Z682" s="24"/>
      <c r="AA682" s="24"/>
      <c r="AB682" s="24"/>
    </row>
    <row r="683" spans="14:28" ht="15.75" customHeight="1">
      <c r="N683" s="24"/>
      <c r="O683" s="24"/>
      <c r="P683" s="24"/>
      <c r="Q683" s="24"/>
      <c r="R683" s="24"/>
      <c r="S683" s="24"/>
      <c r="T683" s="24"/>
      <c r="U683" s="24"/>
      <c r="V683" s="24"/>
      <c r="W683" s="24"/>
      <c r="X683" s="24"/>
      <c r="Y683" s="24"/>
      <c r="Z683" s="24"/>
      <c r="AA683" s="24"/>
      <c r="AB683" s="24"/>
    </row>
    <row r="684" spans="14:28" ht="15.75" customHeight="1">
      <c r="N684" s="24"/>
      <c r="O684" s="24"/>
      <c r="P684" s="24"/>
      <c r="Q684" s="24"/>
      <c r="R684" s="24"/>
      <c r="S684" s="24"/>
      <c r="T684" s="24"/>
      <c r="U684" s="24"/>
      <c r="V684" s="24"/>
      <c r="W684" s="24"/>
      <c r="X684" s="24"/>
      <c r="Y684" s="24"/>
      <c r="Z684" s="24"/>
      <c r="AA684" s="24"/>
      <c r="AB684" s="24"/>
    </row>
    <row r="685" spans="14:28" ht="15.75" customHeight="1">
      <c r="N685" s="24"/>
      <c r="O685" s="24"/>
      <c r="P685" s="24"/>
      <c r="Q685" s="24"/>
      <c r="R685" s="24"/>
      <c r="S685" s="24"/>
      <c r="T685" s="24"/>
      <c r="U685" s="24"/>
      <c r="V685" s="24"/>
      <c r="W685" s="24"/>
      <c r="X685" s="24"/>
      <c r="Y685" s="24"/>
      <c r="Z685" s="24"/>
      <c r="AA685" s="24"/>
      <c r="AB685" s="24"/>
    </row>
    <row r="686" spans="14:28" ht="15.75" customHeight="1">
      <c r="N686" s="24"/>
      <c r="O686" s="24"/>
      <c r="P686" s="24"/>
      <c r="Q686" s="24"/>
      <c r="R686" s="24"/>
      <c r="S686" s="24"/>
      <c r="T686" s="24"/>
      <c r="U686" s="24"/>
      <c r="V686" s="24"/>
      <c r="W686" s="24"/>
      <c r="X686" s="24"/>
      <c r="Y686" s="24"/>
      <c r="Z686" s="24"/>
      <c r="AA686" s="24"/>
      <c r="AB686" s="24"/>
    </row>
    <row r="687" spans="14:28" ht="15.75" customHeight="1">
      <c r="N687" s="24"/>
      <c r="O687" s="24"/>
      <c r="P687" s="24"/>
      <c r="Q687" s="24"/>
      <c r="R687" s="24"/>
      <c r="S687" s="24"/>
      <c r="T687" s="24"/>
      <c r="U687" s="24"/>
      <c r="V687" s="24"/>
      <c r="W687" s="24"/>
      <c r="X687" s="24"/>
      <c r="Y687" s="24"/>
      <c r="Z687" s="24"/>
      <c r="AA687" s="24"/>
      <c r="AB687" s="24"/>
    </row>
    <row r="688" spans="14:28" ht="15.75" customHeight="1">
      <c r="N688" s="24"/>
      <c r="O688" s="24"/>
      <c r="P688" s="24"/>
      <c r="Q688" s="24"/>
      <c r="R688" s="24"/>
      <c r="S688" s="24"/>
      <c r="T688" s="24"/>
      <c r="U688" s="24"/>
      <c r="V688" s="24"/>
      <c r="W688" s="24"/>
      <c r="X688" s="24"/>
      <c r="Y688" s="24"/>
      <c r="Z688" s="24"/>
      <c r="AA688" s="24"/>
      <c r="AB688" s="24"/>
    </row>
    <row r="689" spans="14:28" ht="15.75" customHeight="1">
      <c r="N689" s="24"/>
      <c r="O689" s="24"/>
      <c r="P689" s="24"/>
      <c r="Q689" s="24"/>
      <c r="R689" s="24"/>
      <c r="S689" s="24"/>
      <c r="T689" s="24"/>
      <c r="U689" s="24"/>
      <c r="V689" s="24"/>
      <c r="W689" s="24"/>
      <c r="X689" s="24"/>
      <c r="Y689" s="24"/>
      <c r="Z689" s="24"/>
      <c r="AA689" s="24"/>
      <c r="AB689" s="24"/>
    </row>
    <row r="690" spans="14:28" ht="15.75" customHeight="1">
      <c r="N690" s="24"/>
      <c r="O690" s="24"/>
      <c r="P690" s="24"/>
      <c r="Q690" s="24"/>
      <c r="R690" s="24"/>
      <c r="S690" s="24"/>
      <c r="T690" s="24"/>
      <c r="U690" s="24"/>
      <c r="V690" s="24"/>
      <c r="W690" s="24"/>
      <c r="X690" s="24"/>
      <c r="Y690" s="24"/>
      <c r="Z690" s="24"/>
      <c r="AA690" s="24"/>
      <c r="AB690" s="24"/>
    </row>
    <row r="691" spans="14:28" ht="15.75" customHeight="1">
      <c r="N691" s="24"/>
      <c r="O691" s="24"/>
      <c r="P691" s="24"/>
      <c r="Q691" s="24"/>
      <c r="R691" s="24"/>
      <c r="S691" s="24"/>
      <c r="T691" s="24"/>
      <c r="U691" s="24"/>
      <c r="V691" s="24"/>
      <c r="W691" s="24"/>
      <c r="X691" s="24"/>
      <c r="Y691" s="24"/>
      <c r="Z691" s="24"/>
      <c r="AA691" s="24"/>
      <c r="AB691" s="24"/>
    </row>
    <row r="692" spans="14:28" ht="15.75" customHeight="1">
      <c r="N692" s="24"/>
      <c r="O692" s="24"/>
      <c r="P692" s="24"/>
      <c r="Q692" s="24"/>
      <c r="R692" s="24"/>
      <c r="S692" s="24"/>
      <c r="T692" s="24"/>
      <c r="U692" s="24"/>
      <c r="V692" s="24"/>
      <c r="W692" s="24"/>
      <c r="X692" s="24"/>
      <c r="Y692" s="24"/>
      <c r="Z692" s="24"/>
      <c r="AA692" s="24"/>
      <c r="AB692" s="24"/>
    </row>
    <row r="693" spans="14:28" ht="15.75" customHeight="1">
      <c r="N693" s="24"/>
      <c r="O693" s="24"/>
      <c r="P693" s="24"/>
      <c r="Q693" s="24"/>
      <c r="R693" s="24"/>
      <c r="S693" s="24"/>
      <c r="T693" s="24"/>
      <c r="U693" s="24"/>
      <c r="V693" s="24"/>
      <c r="W693" s="24"/>
      <c r="X693" s="24"/>
      <c r="Y693" s="24"/>
      <c r="Z693" s="24"/>
      <c r="AA693" s="24"/>
      <c r="AB693" s="24"/>
    </row>
    <row r="694" spans="14:28" ht="15.75" customHeight="1">
      <c r="N694" s="24"/>
      <c r="O694" s="24"/>
      <c r="P694" s="24"/>
      <c r="Q694" s="24"/>
      <c r="R694" s="24"/>
      <c r="S694" s="24"/>
      <c r="T694" s="24"/>
      <c r="U694" s="24"/>
      <c r="V694" s="24"/>
      <c r="W694" s="24"/>
      <c r="X694" s="24"/>
      <c r="Y694" s="24"/>
      <c r="Z694" s="24"/>
      <c r="AA694" s="24"/>
      <c r="AB694" s="24"/>
    </row>
    <row r="695" spans="14:28" ht="15.75" customHeight="1">
      <c r="N695" s="24"/>
      <c r="O695" s="24"/>
      <c r="P695" s="24"/>
      <c r="Q695" s="24"/>
      <c r="R695" s="24"/>
      <c r="S695" s="24"/>
      <c r="T695" s="24"/>
      <c r="U695" s="24"/>
      <c r="V695" s="24"/>
      <c r="W695" s="24"/>
      <c r="X695" s="24"/>
      <c r="Y695" s="24"/>
      <c r="Z695" s="24"/>
      <c r="AA695" s="24"/>
      <c r="AB695" s="24"/>
    </row>
    <row r="696" spans="14:28" ht="15.75" customHeight="1">
      <c r="N696" s="24"/>
      <c r="O696" s="24"/>
      <c r="P696" s="24"/>
      <c r="Q696" s="24"/>
      <c r="R696" s="24"/>
      <c r="S696" s="24"/>
      <c r="T696" s="24"/>
      <c r="U696" s="24"/>
      <c r="V696" s="24"/>
      <c r="W696" s="24"/>
      <c r="X696" s="24"/>
      <c r="Y696" s="24"/>
      <c r="Z696" s="24"/>
      <c r="AA696" s="24"/>
      <c r="AB696" s="24"/>
    </row>
    <row r="697" spans="14:28" ht="15.75" customHeight="1">
      <c r="N697" s="24"/>
      <c r="O697" s="24"/>
      <c r="P697" s="24"/>
      <c r="Q697" s="24"/>
      <c r="R697" s="24"/>
      <c r="S697" s="24"/>
      <c r="T697" s="24"/>
      <c r="U697" s="24"/>
      <c r="V697" s="24"/>
      <c r="W697" s="24"/>
      <c r="X697" s="24"/>
      <c r="Y697" s="24"/>
      <c r="Z697" s="24"/>
      <c r="AA697" s="24"/>
      <c r="AB697" s="24"/>
    </row>
    <row r="698" spans="14:28" ht="15.75" customHeight="1">
      <c r="N698" s="24"/>
      <c r="O698" s="24"/>
      <c r="P698" s="24"/>
      <c r="Q698" s="24"/>
      <c r="R698" s="24"/>
      <c r="S698" s="24"/>
      <c r="T698" s="24"/>
      <c r="U698" s="24"/>
      <c r="V698" s="24"/>
      <c r="W698" s="24"/>
      <c r="X698" s="24"/>
      <c r="Y698" s="24"/>
      <c r="Z698" s="24"/>
      <c r="AA698" s="24"/>
      <c r="AB698" s="24"/>
    </row>
    <row r="699" spans="14:28" ht="15.75" customHeight="1">
      <c r="N699" s="24"/>
      <c r="O699" s="24"/>
      <c r="P699" s="24"/>
      <c r="Q699" s="24"/>
      <c r="R699" s="24"/>
      <c r="S699" s="24"/>
      <c r="T699" s="24"/>
      <c r="U699" s="24"/>
      <c r="V699" s="24"/>
      <c r="W699" s="24"/>
      <c r="X699" s="24"/>
      <c r="Y699" s="24"/>
      <c r="Z699" s="24"/>
      <c r="AA699" s="24"/>
      <c r="AB699" s="24"/>
    </row>
    <row r="700" spans="14:28" ht="15.75" customHeight="1">
      <c r="N700" s="24"/>
      <c r="O700" s="24"/>
      <c r="P700" s="24"/>
      <c r="Q700" s="24"/>
      <c r="R700" s="24"/>
      <c r="S700" s="24"/>
      <c r="T700" s="24"/>
      <c r="U700" s="24"/>
      <c r="V700" s="24"/>
      <c r="W700" s="24"/>
      <c r="X700" s="24"/>
      <c r="Y700" s="24"/>
      <c r="Z700" s="24"/>
      <c r="AA700" s="24"/>
      <c r="AB700" s="24"/>
    </row>
    <row r="701" spans="14:28" ht="15.75" customHeight="1">
      <c r="N701" s="24"/>
      <c r="O701" s="24"/>
      <c r="P701" s="24"/>
      <c r="Q701" s="24"/>
      <c r="R701" s="24"/>
      <c r="S701" s="24"/>
      <c r="T701" s="24"/>
      <c r="U701" s="24"/>
      <c r="V701" s="24"/>
      <c r="W701" s="24"/>
      <c r="X701" s="24"/>
      <c r="Y701" s="24"/>
      <c r="Z701" s="24"/>
      <c r="AA701" s="24"/>
      <c r="AB701" s="24"/>
    </row>
    <row r="702" spans="14:28" ht="15.75" customHeight="1">
      <c r="N702" s="24"/>
      <c r="O702" s="24"/>
      <c r="P702" s="24"/>
      <c r="Q702" s="24"/>
      <c r="R702" s="24"/>
      <c r="S702" s="24"/>
      <c r="T702" s="24"/>
      <c r="U702" s="24"/>
      <c r="V702" s="24"/>
      <c r="W702" s="24"/>
      <c r="X702" s="24"/>
      <c r="Y702" s="24"/>
      <c r="Z702" s="24"/>
      <c r="AA702" s="24"/>
      <c r="AB702" s="24"/>
    </row>
    <row r="703" spans="14:28" ht="15.75" customHeight="1">
      <c r="N703" s="24"/>
      <c r="O703" s="24"/>
      <c r="P703" s="24"/>
      <c r="Q703" s="24"/>
      <c r="R703" s="24"/>
      <c r="S703" s="24"/>
      <c r="T703" s="24"/>
      <c r="U703" s="24"/>
      <c r="V703" s="24"/>
      <c r="W703" s="24"/>
      <c r="X703" s="24"/>
      <c r="Y703" s="24"/>
      <c r="Z703" s="24"/>
      <c r="AA703" s="24"/>
      <c r="AB703" s="24"/>
    </row>
    <row r="704" spans="14:28" ht="15.75" customHeight="1">
      <c r="N704" s="24"/>
      <c r="O704" s="24"/>
      <c r="P704" s="24"/>
      <c r="Q704" s="24"/>
      <c r="R704" s="24"/>
      <c r="S704" s="24"/>
      <c r="T704" s="24"/>
      <c r="U704" s="24"/>
      <c r="V704" s="24"/>
      <c r="W704" s="24"/>
      <c r="X704" s="24"/>
      <c r="Y704" s="24"/>
      <c r="Z704" s="24"/>
      <c r="AA704" s="24"/>
      <c r="AB704" s="24"/>
    </row>
    <row r="705" spans="14:28" ht="15.75" customHeight="1">
      <c r="N705" s="24"/>
      <c r="O705" s="24"/>
      <c r="P705" s="24"/>
      <c r="Q705" s="24"/>
      <c r="R705" s="24"/>
      <c r="S705" s="24"/>
      <c r="T705" s="24"/>
      <c r="U705" s="24"/>
      <c r="V705" s="24"/>
      <c r="W705" s="24"/>
      <c r="X705" s="24"/>
      <c r="Y705" s="24"/>
      <c r="Z705" s="24"/>
      <c r="AA705" s="24"/>
      <c r="AB705" s="24"/>
    </row>
    <row r="706" spans="14:28" ht="15.75" customHeight="1">
      <c r="N706" s="24"/>
      <c r="O706" s="24"/>
      <c r="P706" s="24"/>
      <c r="Q706" s="24"/>
      <c r="R706" s="24"/>
      <c r="S706" s="24"/>
      <c r="T706" s="24"/>
      <c r="U706" s="24"/>
      <c r="V706" s="24"/>
      <c r="W706" s="24"/>
      <c r="X706" s="24"/>
      <c r="Y706" s="24"/>
      <c r="Z706" s="24"/>
      <c r="AA706" s="24"/>
      <c r="AB706" s="24"/>
    </row>
    <row r="707" spans="14:28" ht="15.75" customHeight="1">
      <c r="N707" s="24"/>
      <c r="O707" s="24"/>
      <c r="P707" s="24"/>
      <c r="Q707" s="24"/>
      <c r="R707" s="24"/>
      <c r="S707" s="24"/>
      <c r="T707" s="24"/>
      <c r="U707" s="24"/>
      <c r="V707" s="24"/>
      <c r="W707" s="24"/>
      <c r="X707" s="24"/>
      <c r="Y707" s="24"/>
      <c r="Z707" s="24"/>
      <c r="AA707" s="24"/>
      <c r="AB707" s="24"/>
    </row>
    <row r="708" spans="14:28" ht="15.75" customHeight="1">
      <c r="N708" s="24"/>
      <c r="O708" s="24"/>
      <c r="P708" s="24"/>
      <c r="Q708" s="24"/>
      <c r="R708" s="24"/>
      <c r="S708" s="24"/>
      <c r="T708" s="24"/>
      <c r="U708" s="24"/>
      <c r="V708" s="24"/>
      <c r="W708" s="24"/>
      <c r="X708" s="24"/>
      <c r="Y708" s="24"/>
      <c r="Z708" s="24"/>
      <c r="AA708" s="24"/>
      <c r="AB708" s="24"/>
    </row>
    <row r="709" spans="14:28" ht="15.75" customHeight="1">
      <c r="N709" s="24"/>
      <c r="O709" s="24"/>
      <c r="P709" s="24"/>
      <c r="Q709" s="24"/>
      <c r="R709" s="24"/>
      <c r="S709" s="24"/>
      <c r="T709" s="24"/>
      <c r="U709" s="24"/>
      <c r="V709" s="24"/>
      <c r="W709" s="24"/>
      <c r="X709" s="24"/>
      <c r="Y709" s="24"/>
      <c r="Z709" s="24"/>
      <c r="AA709" s="24"/>
      <c r="AB709" s="24"/>
    </row>
    <row r="710" spans="14:28" ht="15.75" customHeight="1">
      <c r="N710" s="24"/>
      <c r="O710" s="24"/>
      <c r="P710" s="24"/>
      <c r="Q710" s="24"/>
      <c r="R710" s="24"/>
      <c r="S710" s="24"/>
      <c r="T710" s="24"/>
      <c r="U710" s="24"/>
      <c r="V710" s="24"/>
      <c r="W710" s="24"/>
      <c r="X710" s="24"/>
      <c r="Y710" s="24"/>
      <c r="Z710" s="24"/>
      <c r="AA710" s="24"/>
      <c r="AB710" s="24"/>
    </row>
    <row r="711" spans="14:28" ht="15.75" customHeight="1">
      <c r="N711" s="24"/>
      <c r="O711" s="24"/>
      <c r="P711" s="24"/>
      <c r="Q711" s="24"/>
      <c r="R711" s="24"/>
      <c r="S711" s="24"/>
      <c r="T711" s="24"/>
      <c r="U711" s="24"/>
      <c r="V711" s="24"/>
      <c r="W711" s="24"/>
      <c r="X711" s="24"/>
      <c r="Y711" s="24"/>
      <c r="Z711" s="24"/>
      <c r="AA711" s="24"/>
      <c r="AB711" s="24"/>
    </row>
    <row r="712" spans="14:28" ht="15.75" customHeight="1">
      <c r="N712" s="24"/>
      <c r="O712" s="24"/>
      <c r="P712" s="24"/>
      <c r="Q712" s="24"/>
      <c r="R712" s="24"/>
      <c r="S712" s="24"/>
      <c r="T712" s="24"/>
      <c r="U712" s="24"/>
      <c r="V712" s="24"/>
      <c r="W712" s="24"/>
      <c r="X712" s="24"/>
      <c r="Y712" s="24"/>
      <c r="Z712" s="24"/>
      <c r="AA712" s="24"/>
      <c r="AB712" s="24"/>
    </row>
    <row r="713" spans="14:28" ht="15.75" customHeight="1">
      <c r="N713" s="24"/>
      <c r="O713" s="24"/>
      <c r="P713" s="24"/>
      <c r="Q713" s="24"/>
      <c r="R713" s="24"/>
      <c r="S713" s="24"/>
      <c r="T713" s="24"/>
      <c r="U713" s="24"/>
      <c r="V713" s="24"/>
      <c r="W713" s="24"/>
      <c r="X713" s="24"/>
      <c r="Y713" s="24"/>
      <c r="Z713" s="24"/>
      <c r="AA713" s="24"/>
      <c r="AB713" s="24"/>
    </row>
    <row r="714" spans="14:28" ht="15.75" customHeight="1">
      <c r="N714" s="24"/>
      <c r="O714" s="24"/>
      <c r="P714" s="24"/>
      <c r="Q714" s="24"/>
      <c r="R714" s="24"/>
      <c r="S714" s="24"/>
      <c r="T714" s="24"/>
      <c r="U714" s="24"/>
      <c r="V714" s="24"/>
      <c r="W714" s="24"/>
      <c r="X714" s="24"/>
      <c r="Y714" s="24"/>
      <c r="Z714" s="24"/>
      <c r="AA714" s="24"/>
      <c r="AB714" s="24"/>
    </row>
    <row r="715" spans="14:28" ht="15.75" customHeight="1">
      <c r="N715" s="24"/>
      <c r="O715" s="24"/>
      <c r="P715" s="24"/>
      <c r="Q715" s="24"/>
      <c r="R715" s="24"/>
      <c r="S715" s="24"/>
      <c r="T715" s="24"/>
      <c r="U715" s="24"/>
      <c r="V715" s="24"/>
      <c r="W715" s="24"/>
      <c r="X715" s="24"/>
      <c r="Y715" s="24"/>
      <c r="Z715" s="24"/>
      <c r="AA715" s="24"/>
      <c r="AB715" s="24"/>
    </row>
    <row r="716" spans="14:28" ht="15.75" customHeight="1">
      <c r="N716" s="24"/>
      <c r="O716" s="24"/>
      <c r="P716" s="24"/>
      <c r="Q716" s="24"/>
      <c r="R716" s="24"/>
      <c r="S716" s="24"/>
      <c r="T716" s="24"/>
      <c r="U716" s="24"/>
      <c r="V716" s="24"/>
      <c r="W716" s="24"/>
      <c r="X716" s="24"/>
      <c r="Y716" s="24"/>
      <c r="Z716" s="24"/>
      <c r="AA716" s="24"/>
      <c r="AB716" s="24"/>
    </row>
    <row r="717" spans="14:28" ht="15.75" customHeight="1">
      <c r="N717" s="24"/>
      <c r="O717" s="24"/>
      <c r="P717" s="24"/>
      <c r="Q717" s="24"/>
      <c r="R717" s="24"/>
      <c r="S717" s="24"/>
      <c r="T717" s="24"/>
      <c r="U717" s="24"/>
      <c r="V717" s="24"/>
      <c r="W717" s="24"/>
      <c r="X717" s="24"/>
      <c r="Y717" s="24"/>
      <c r="Z717" s="24"/>
      <c r="AA717" s="24"/>
      <c r="AB717" s="24"/>
    </row>
    <row r="718" spans="14:28" ht="15.75" customHeight="1">
      <c r="N718" s="24"/>
      <c r="O718" s="24"/>
      <c r="P718" s="24"/>
      <c r="Q718" s="24"/>
      <c r="R718" s="24"/>
      <c r="S718" s="24"/>
      <c r="T718" s="24"/>
      <c r="U718" s="24"/>
      <c r="V718" s="24"/>
      <c r="W718" s="24"/>
      <c r="X718" s="24"/>
      <c r="Y718" s="24"/>
      <c r="Z718" s="24"/>
      <c r="AA718" s="24"/>
      <c r="AB718" s="24"/>
    </row>
    <row r="719" spans="14:28" ht="15.75" customHeight="1">
      <c r="N719" s="24"/>
      <c r="O719" s="24"/>
      <c r="P719" s="24"/>
      <c r="Q719" s="24"/>
      <c r="R719" s="24"/>
      <c r="S719" s="24"/>
      <c r="T719" s="24"/>
      <c r="U719" s="24"/>
      <c r="V719" s="24"/>
      <c r="W719" s="24"/>
      <c r="X719" s="24"/>
      <c r="Y719" s="24"/>
      <c r="Z719" s="24"/>
      <c r="AA719" s="24"/>
      <c r="AB719" s="24"/>
    </row>
    <row r="720" spans="14:28" ht="15.75" customHeight="1">
      <c r="N720" s="24"/>
      <c r="O720" s="24"/>
      <c r="P720" s="24"/>
      <c r="Q720" s="24"/>
      <c r="R720" s="24"/>
      <c r="S720" s="24"/>
      <c r="T720" s="24"/>
      <c r="U720" s="24"/>
      <c r="V720" s="24"/>
      <c r="W720" s="24"/>
      <c r="X720" s="24"/>
      <c r="Y720" s="24"/>
      <c r="Z720" s="24"/>
      <c r="AA720" s="24"/>
      <c r="AB720" s="24"/>
    </row>
    <row r="721" spans="14:28" ht="15.75" customHeight="1">
      <c r="N721" s="24"/>
      <c r="O721" s="24"/>
      <c r="P721" s="24"/>
      <c r="Q721" s="24"/>
      <c r="R721" s="24"/>
      <c r="S721" s="24"/>
      <c r="T721" s="24"/>
      <c r="U721" s="24"/>
      <c r="V721" s="24"/>
      <c r="W721" s="24"/>
      <c r="X721" s="24"/>
      <c r="Y721" s="24"/>
      <c r="Z721" s="24"/>
      <c r="AA721" s="24"/>
      <c r="AB721" s="24"/>
    </row>
    <row r="722" spans="14:28" ht="15.75" customHeight="1">
      <c r="N722" s="24"/>
      <c r="O722" s="24"/>
      <c r="P722" s="24"/>
      <c r="Q722" s="24"/>
      <c r="R722" s="24"/>
      <c r="S722" s="24"/>
      <c r="T722" s="24"/>
      <c r="U722" s="24"/>
      <c r="V722" s="24"/>
      <c r="W722" s="24"/>
      <c r="X722" s="24"/>
      <c r="Y722" s="24"/>
      <c r="Z722" s="24"/>
      <c r="AA722" s="24"/>
      <c r="AB722" s="24"/>
    </row>
    <row r="723" spans="14:28" ht="15.75" customHeight="1">
      <c r="N723" s="24"/>
      <c r="O723" s="24"/>
      <c r="P723" s="24"/>
      <c r="Q723" s="24"/>
      <c r="R723" s="24"/>
      <c r="S723" s="24"/>
      <c r="T723" s="24"/>
      <c r="U723" s="24"/>
      <c r="V723" s="24"/>
      <c r="W723" s="24"/>
      <c r="X723" s="24"/>
      <c r="Y723" s="24"/>
      <c r="Z723" s="24"/>
      <c r="AA723" s="24"/>
      <c r="AB723" s="24"/>
    </row>
    <row r="724" spans="14:28" ht="15.75" customHeight="1">
      <c r="N724" s="24"/>
      <c r="O724" s="24"/>
      <c r="P724" s="24"/>
      <c r="Q724" s="24"/>
      <c r="R724" s="24"/>
      <c r="S724" s="24"/>
      <c r="T724" s="24"/>
      <c r="U724" s="24"/>
      <c r="V724" s="24"/>
      <c r="W724" s="24"/>
      <c r="X724" s="24"/>
      <c r="Y724" s="24"/>
      <c r="Z724" s="24"/>
      <c r="AA724" s="24"/>
      <c r="AB724" s="24"/>
    </row>
    <row r="725" spans="14:28" ht="15.75" customHeight="1">
      <c r="N725" s="24"/>
      <c r="O725" s="24"/>
      <c r="P725" s="24"/>
      <c r="Q725" s="24"/>
      <c r="R725" s="24"/>
      <c r="S725" s="24"/>
      <c r="T725" s="24"/>
      <c r="U725" s="24"/>
      <c r="V725" s="24"/>
      <c r="W725" s="24"/>
      <c r="X725" s="24"/>
      <c r="Y725" s="24"/>
      <c r="Z725" s="24"/>
      <c r="AA725" s="24"/>
      <c r="AB725" s="24"/>
    </row>
    <row r="726" spans="14:28" ht="15.75" customHeight="1">
      <c r="N726" s="24"/>
      <c r="O726" s="24"/>
      <c r="P726" s="24"/>
      <c r="Q726" s="24"/>
      <c r="R726" s="24"/>
      <c r="S726" s="24"/>
      <c r="T726" s="24"/>
      <c r="U726" s="24"/>
      <c r="V726" s="24"/>
      <c r="W726" s="24"/>
      <c r="X726" s="24"/>
      <c r="Y726" s="24"/>
      <c r="Z726" s="24"/>
      <c r="AA726" s="24"/>
      <c r="AB726" s="24"/>
    </row>
    <row r="727" spans="14:28" ht="15.75" customHeight="1">
      <c r="N727" s="24"/>
      <c r="O727" s="24"/>
      <c r="P727" s="24"/>
      <c r="Q727" s="24"/>
      <c r="R727" s="24"/>
      <c r="S727" s="24"/>
      <c r="T727" s="24"/>
      <c r="U727" s="24"/>
      <c r="V727" s="24"/>
      <c r="W727" s="24"/>
      <c r="X727" s="24"/>
      <c r="Y727" s="24"/>
      <c r="Z727" s="24"/>
      <c r="AA727" s="24"/>
      <c r="AB727" s="24"/>
    </row>
    <row r="728" spans="14:28" ht="15.75" customHeight="1">
      <c r="N728" s="24"/>
      <c r="O728" s="24"/>
      <c r="P728" s="24"/>
      <c r="Q728" s="24"/>
      <c r="R728" s="24"/>
      <c r="S728" s="24"/>
      <c r="T728" s="24"/>
      <c r="U728" s="24"/>
      <c r="V728" s="24"/>
      <c r="W728" s="24"/>
      <c r="X728" s="24"/>
      <c r="Y728" s="24"/>
      <c r="Z728" s="24"/>
      <c r="AA728" s="24"/>
      <c r="AB728" s="24"/>
    </row>
    <row r="729" spans="14:28" ht="15.75" customHeight="1">
      <c r="N729" s="24"/>
      <c r="O729" s="24"/>
      <c r="P729" s="24"/>
      <c r="Q729" s="24"/>
      <c r="R729" s="24"/>
      <c r="S729" s="24"/>
      <c r="T729" s="24"/>
      <c r="U729" s="24"/>
      <c r="V729" s="24"/>
      <c r="W729" s="24"/>
      <c r="X729" s="24"/>
      <c r="Y729" s="24"/>
      <c r="Z729" s="24"/>
      <c r="AA729" s="24"/>
      <c r="AB729" s="24"/>
    </row>
    <row r="730" spans="14:28" ht="15.75" customHeight="1">
      <c r="N730" s="24"/>
      <c r="O730" s="24"/>
      <c r="P730" s="24"/>
      <c r="Q730" s="24"/>
      <c r="R730" s="24"/>
      <c r="S730" s="24"/>
      <c r="T730" s="24"/>
      <c r="U730" s="24"/>
      <c r="V730" s="24"/>
      <c r="W730" s="24"/>
      <c r="X730" s="24"/>
      <c r="Y730" s="24"/>
      <c r="Z730" s="24"/>
      <c r="AA730" s="24"/>
      <c r="AB730" s="24"/>
    </row>
    <row r="731" spans="14:28" ht="15.75" customHeight="1">
      <c r="N731" s="24"/>
      <c r="O731" s="24"/>
      <c r="P731" s="24"/>
      <c r="Q731" s="24"/>
      <c r="R731" s="24"/>
      <c r="S731" s="24"/>
      <c r="T731" s="24"/>
      <c r="U731" s="24"/>
      <c r="V731" s="24"/>
      <c r="W731" s="24"/>
      <c r="X731" s="24"/>
      <c r="Y731" s="24"/>
      <c r="Z731" s="24"/>
      <c r="AA731" s="24"/>
      <c r="AB731" s="24"/>
    </row>
    <row r="732" spans="14:28" ht="15.75" customHeight="1">
      <c r="N732" s="24"/>
      <c r="O732" s="24"/>
      <c r="P732" s="24"/>
      <c r="Q732" s="24"/>
      <c r="R732" s="24"/>
      <c r="S732" s="24"/>
      <c r="T732" s="24"/>
      <c r="U732" s="24"/>
      <c r="V732" s="24"/>
      <c r="W732" s="24"/>
      <c r="X732" s="24"/>
      <c r="Y732" s="24"/>
      <c r="Z732" s="24"/>
      <c r="AA732" s="24"/>
      <c r="AB732" s="24"/>
    </row>
    <row r="733" spans="14:28" ht="15.75" customHeight="1">
      <c r="N733" s="24"/>
      <c r="O733" s="24"/>
      <c r="P733" s="24"/>
      <c r="Q733" s="24"/>
      <c r="R733" s="24"/>
      <c r="S733" s="24"/>
      <c r="T733" s="24"/>
      <c r="U733" s="24"/>
      <c r="V733" s="24"/>
      <c r="W733" s="24"/>
      <c r="X733" s="24"/>
      <c r="Y733" s="24"/>
      <c r="Z733" s="24"/>
      <c r="AA733" s="24"/>
      <c r="AB733" s="24"/>
    </row>
    <row r="734" spans="14:28" ht="15.75" customHeight="1">
      <c r="N734" s="24"/>
      <c r="O734" s="24"/>
      <c r="P734" s="24"/>
      <c r="Q734" s="24"/>
      <c r="R734" s="24"/>
      <c r="S734" s="24"/>
      <c r="T734" s="24"/>
      <c r="U734" s="24"/>
      <c r="V734" s="24"/>
      <c r="W734" s="24"/>
      <c r="X734" s="24"/>
      <c r="Y734" s="24"/>
      <c r="Z734" s="24"/>
      <c r="AA734" s="24"/>
      <c r="AB734" s="24"/>
    </row>
    <row r="735" spans="14:28" ht="15.75" customHeight="1">
      <c r="N735" s="24"/>
      <c r="O735" s="24"/>
      <c r="P735" s="24"/>
      <c r="Q735" s="24"/>
      <c r="R735" s="24"/>
      <c r="S735" s="24"/>
      <c r="T735" s="24"/>
      <c r="U735" s="24"/>
      <c r="V735" s="24"/>
      <c r="W735" s="24"/>
      <c r="X735" s="24"/>
      <c r="Y735" s="24"/>
      <c r="Z735" s="24"/>
      <c r="AA735" s="24"/>
      <c r="AB735" s="24"/>
    </row>
    <row r="736" spans="14:28" ht="15.75" customHeight="1">
      <c r="N736" s="24"/>
      <c r="O736" s="24"/>
      <c r="P736" s="24"/>
      <c r="Q736" s="24"/>
      <c r="R736" s="24"/>
      <c r="S736" s="24"/>
      <c r="T736" s="24"/>
      <c r="U736" s="24"/>
      <c r="V736" s="24"/>
      <c r="W736" s="24"/>
      <c r="X736" s="24"/>
      <c r="Y736" s="24"/>
      <c r="Z736" s="24"/>
      <c r="AA736" s="24"/>
      <c r="AB736" s="24"/>
    </row>
    <row r="737" spans="14:28" ht="15.75" customHeight="1">
      <c r="N737" s="24"/>
      <c r="O737" s="24"/>
      <c r="P737" s="24"/>
      <c r="Q737" s="24"/>
      <c r="R737" s="24"/>
      <c r="S737" s="24"/>
      <c r="T737" s="24"/>
      <c r="U737" s="24"/>
      <c r="V737" s="24"/>
      <c r="W737" s="24"/>
      <c r="X737" s="24"/>
      <c r="Y737" s="24"/>
      <c r="Z737" s="24"/>
      <c r="AA737" s="24"/>
      <c r="AB737" s="24"/>
    </row>
    <row r="738" spans="14:28" ht="15.75" customHeight="1">
      <c r="N738" s="24"/>
      <c r="O738" s="24"/>
      <c r="P738" s="24"/>
      <c r="Q738" s="24"/>
      <c r="R738" s="24"/>
      <c r="S738" s="24"/>
      <c r="T738" s="24"/>
      <c r="U738" s="24"/>
      <c r="V738" s="24"/>
      <c r="W738" s="24"/>
      <c r="X738" s="24"/>
      <c r="Y738" s="24"/>
      <c r="Z738" s="24"/>
      <c r="AA738" s="24"/>
      <c r="AB738" s="24"/>
    </row>
    <row r="739" spans="14:28" ht="15.75" customHeight="1">
      <c r="N739" s="24"/>
      <c r="O739" s="24"/>
      <c r="P739" s="24"/>
      <c r="Q739" s="24"/>
      <c r="R739" s="24"/>
      <c r="S739" s="24"/>
      <c r="T739" s="24"/>
      <c r="U739" s="24"/>
      <c r="V739" s="24"/>
      <c r="W739" s="24"/>
      <c r="X739" s="24"/>
      <c r="Y739" s="24"/>
      <c r="Z739" s="24"/>
      <c r="AA739" s="24"/>
      <c r="AB739" s="24"/>
    </row>
    <row r="740" spans="14:28" ht="15.75" customHeight="1">
      <c r="N740" s="24"/>
      <c r="O740" s="24"/>
      <c r="P740" s="24"/>
      <c r="Q740" s="24"/>
      <c r="R740" s="24"/>
      <c r="S740" s="24"/>
      <c r="T740" s="24"/>
      <c r="U740" s="24"/>
      <c r="V740" s="24"/>
      <c r="W740" s="24"/>
      <c r="X740" s="24"/>
      <c r="Y740" s="24"/>
      <c r="Z740" s="24"/>
      <c r="AA740" s="24"/>
      <c r="AB740" s="24"/>
    </row>
    <row r="741" spans="14:28" ht="15.75" customHeight="1">
      <c r="N741" s="24"/>
      <c r="O741" s="24"/>
      <c r="P741" s="24"/>
      <c r="Q741" s="24"/>
      <c r="R741" s="24"/>
      <c r="S741" s="24"/>
      <c r="T741" s="24"/>
      <c r="U741" s="24"/>
      <c r="V741" s="24"/>
      <c r="W741" s="24"/>
      <c r="X741" s="24"/>
      <c r="Y741" s="24"/>
      <c r="Z741" s="24"/>
      <c r="AA741" s="24"/>
      <c r="AB741" s="24"/>
    </row>
    <row r="742" spans="14:28" ht="15.75" customHeight="1">
      <c r="N742" s="24"/>
      <c r="O742" s="24"/>
      <c r="P742" s="24"/>
      <c r="Q742" s="24"/>
      <c r="R742" s="24"/>
      <c r="S742" s="24"/>
      <c r="T742" s="24"/>
      <c r="U742" s="24"/>
      <c r="V742" s="24"/>
      <c r="W742" s="24"/>
      <c r="X742" s="24"/>
      <c r="Y742" s="24"/>
      <c r="Z742" s="24"/>
      <c r="AA742" s="24"/>
      <c r="AB742" s="24"/>
    </row>
    <row r="743" spans="14:28" ht="15.75" customHeight="1">
      <c r="N743" s="24"/>
      <c r="O743" s="24"/>
      <c r="P743" s="24"/>
      <c r="Q743" s="24"/>
      <c r="R743" s="24"/>
      <c r="S743" s="24"/>
      <c r="T743" s="24"/>
      <c r="U743" s="24"/>
      <c r="V743" s="24"/>
      <c r="W743" s="24"/>
      <c r="X743" s="24"/>
      <c r="Y743" s="24"/>
      <c r="Z743" s="24"/>
      <c r="AA743" s="24"/>
      <c r="AB743" s="24"/>
    </row>
    <row r="744" spans="14:28" ht="15.75" customHeight="1">
      <c r="N744" s="24"/>
      <c r="O744" s="24"/>
      <c r="P744" s="24"/>
      <c r="Q744" s="24"/>
      <c r="R744" s="24"/>
      <c r="S744" s="24"/>
      <c r="T744" s="24"/>
      <c r="U744" s="24"/>
      <c r="V744" s="24"/>
      <c r="W744" s="24"/>
      <c r="X744" s="24"/>
      <c r="Y744" s="24"/>
      <c r="Z744" s="24"/>
      <c r="AA744" s="24"/>
      <c r="AB744" s="24"/>
    </row>
    <row r="745" spans="14:28" ht="15.75" customHeight="1">
      <c r="N745" s="24"/>
      <c r="O745" s="24"/>
      <c r="P745" s="24"/>
      <c r="Q745" s="24"/>
      <c r="R745" s="24"/>
      <c r="S745" s="24"/>
      <c r="T745" s="24"/>
      <c r="U745" s="24"/>
      <c r="V745" s="24"/>
      <c r="W745" s="24"/>
      <c r="X745" s="24"/>
      <c r="Y745" s="24"/>
      <c r="Z745" s="24"/>
      <c r="AA745" s="24"/>
      <c r="AB745" s="24"/>
    </row>
    <row r="746" spans="14:28" ht="15.75" customHeight="1">
      <c r="N746" s="24"/>
      <c r="O746" s="24"/>
      <c r="P746" s="24"/>
      <c r="Q746" s="24"/>
      <c r="R746" s="24"/>
      <c r="S746" s="24"/>
      <c r="T746" s="24"/>
      <c r="U746" s="24"/>
      <c r="V746" s="24"/>
      <c r="W746" s="24"/>
      <c r="X746" s="24"/>
      <c r="Y746" s="24"/>
      <c r="Z746" s="24"/>
      <c r="AA746" s="24"/>
      <c r="AB746" s="24"/>
    </row>
    <row r="747" spans="14:28" ht="15.75" customHeight="1">
      <c r="N747" s="24"/>
      <c r="O747" s="24"/>
      <c r="P747" s="24"/>
      <c r="Q747" s="24"/>
      <c r="R747" s="24"/>
      <c r="S747" s="24"/>
      <c r="T747" s="24"/>
      <c r="U747" s="24"/>
      <c r="V747" s="24"/>
      <c r="W747" s="24"/>
      <c r="X747" s="24"/>
      <c r="Y747" s="24"/>
      <c r="Z747" s="24"/>
      <c r="AA747" s="24"/>
      <c r="AB747" s="24"/>
    </row>
    <row r="748" spans="14:28" ht="15.75" customHeight="1">
      <c r="N748" s="24"/>
      <c r="O748" s="24"/>
      <c r="P748" s="24"/>
      <c r="Q748" s="24"/>
      <c r="R748" s="24"/>
      <c r="S748" s="24"/>
      <c r="T748" s="24"/>
      <c r="U748" s="24"/>
      <c r="V748" s="24"/>
      <c r="W748" s="24"/>
      <c r="X748" s="24"/>
      <c r="Y748" s="24"/>
      <c r="Z748" s="24"/>
      <c r="AA748" s="24"/>
      <c r="AB748" s="24"/>
    </row>
    <row r="749" spans="14:28" ht="15.75" customHeight="1">
      <c r="N749" s="24"/>
      <c r="O749" s="24"/>
      <c r="P749" s="24"/>
      <c r="Q749" s="24"/>
      <c r="R749" s="24"/>
      <c r="S749" s="24"/>
      <c r="T749" s="24"/>
      <c r="U749" s="24"/>
      <c r="V749" s="24"/>
      <c r="W749" s="24"/>
      <c r="X749" s="24"/>
      <c r="Y749" s="24"/>
      <c r="Z749" s="24"/>
      <c r="AA749" s="24"/>
      <c r="AB749" s="24"/>
    </row>
    <row r="750" spans="14:28" ht="15.75" customHeight="1">
      <c r="N750" s="24"/>
      <c r="O750" s="24"/>
      <c r="P750" s="24"/>
      <c r="Q750" s="24"/>
      <c r="R750" s="24"/>
      <c r="S750" s="24"/>
      <c r="T750" s="24"/>
      <c r="U750" s="24"/>
      <c r="V750" s="24"/>
      <c r="W750" s="24"/>
      <c r="X750" s="24"/>
      <c r="Y750" s="24"/>
      <c r="Z750" s="24"/>
      <c r="AA750" s="24"/>
      <c r="AB750" s="24"/>
    </row>
    <row r="751" spans="14:28" ht="15.75" customHeight="1">
      <c r="N751" s="24"/>
      <c r="O751" s="24"/>
      <c r="P751" s="24"/>
      <c r="Q751" s="24"/>
      <c r="R751" s="24"/>
      <c r="S751" s="24"/>
      <c r="T751" s="24"/>
      <c r="U751" s="24"/>
      <c r="V751" s="24"/>
      <c r="W751" s="24"/>
      <c r="X751" s="24"/>
      <c r="Y751" s="24"/>
      <c r="Z751" s="24"/>
      <c r="AA751" s="24"/>
      <c r="AB751" s="24"/>
    </row>
    <row r="752" spans="14:28" ht="15.75" customHeight="1">
      <c r="N752" s="24"/>
      <c r="O752" s="24"/>
      <c r="P752" s="24"/>
      <c r="Q752" s="24"/>
      <c r="R752" s="24"/>
      <c r="S752" s="24"/>
      <c r="T752" s="24"/>
      <c r="U752" s="24"/>
      <c r="V752" s="24"/>
      <c r="W752" s="24"/>
      <c r="X752" s="24"/>
      <c r="Y752" s="24"/>
      <c r="Z752" s="24"/>
      <c r="AA752" s="24"/>
      <c r="AB752" s="24"/>
    </row>
    <row r="753" spans="14:28" ht="15.75" customHeight="1">
      <c r="N753" s="24"/>
      <c r="O753" s="24"/>
      <c r="P753" s="24"/>
      <c r="Q753" s="24"/>
      <c r="R753" s="24"/>
      <c r="S753" s="24"/>
      <c r="T753" s="24"/>
      <c r="U753" s="24"/>
      <c r="V753" s="24"/>
      <c r="W753" s="24"/>
      <c r="X753" s="24"/>
      <c r="Y753" s="24"/>
      <c r="Z753" s="24"/>
      <c r="AA753" s="24"/>
      <c r="AB753" s="24"/>
    </row>
    <row r="754" spans="14:28" ht="15.75" customHeight="1">
      <c r="N754" s="24"/>
      <c r="O754" s="24"/>
      <c r="P754" s="24"/>
      <c r="Q754" s="24"/>
      <c r="R754" s="24"/>
      <c r="S754" s="24"/>
      <c r="T754" s="24"/>
      <c r="U754" s="24"/>
      <c r="V754" s="24"/>
      <c r="W754" s="24"/>
      <c r="X754" s="24"/>
      <c r="Y754" s="24"/>
      <c r="Z754" s="24"/>
      <c r="AA754" s="24"/>
      <c r="AB754" s="24"/>
    </row>
    <row r="755" spans="14:28" ht="15.75" customHeight="1">
      <c r="N755" s="24"/>
      <c r="O755" s="24"/>
      <c r="P755" s="24"/>
      <c r="Q755" s="24"/>
      <c r="R755" s="24"/>
      <c r="S755" s="24"/>
      <c r="T755" s="24"/>
      <c r="U755" s="24"/>
      <c r="V755" s="24"/>
      <c r="W755" s="24"/>
      <c r="X755" s="24"/>
      <c r="Y755" s="24"/>
      <c r="Z755" s="24"/>
      <c r="AA755" s="24"/>
      <c r="AB755" s="24"/>
    </row>
    <row r="756" spans="14:28" ht="15.75" customHeight="1">
      <c r="N756" s="24"/>
      <c r="O756" s="24"/>
      <c r="P756" s="24"/>
      <c r="Q756" s="24"/>
      <c r="R756" s="24"/>
      <c r="S756" s="24"/>
      <c r="T756" s="24"/>
      <c r="U756" s="24"/>
      <c r="V756" s="24"/>
      <c r="W756" s="24"/>
      <c r="X756" s="24"/>
      <c r="Y756" s="24"/>
      <c r="Z756" s="24"/>
      <c r="AA756" s="24"/>
      <c r="AB756" s="24"/>
    </row>
    <row r="757" spans="14:28" ht="15.75" customHeight="1">
      <c r="N757" s="24"/>
      <c r="O757" s="24"/>
      <c r="P757" s="24"/>
      <c r="Q757" s="24"/>
      <c r="R757" s="24"/>
      <c r="S757" s="24"/>
      <c r="T757" s="24"/>
      <c r="U757" s="24"/>
      <c r="V757" s="24"/>
      <c r="W757" s="24"/>
      <c r="X757" s="24"/>
      <c r="Y757" s="24"/>
      <c r="Z757" s="24"/>
      <c r="AA757" s="24"/>
      <c r="AB757" s="24"/>
    </row>
    <row r="758" spans="14:28" ht="15.75" customHeight="1">
      <c r="N758" s="24"/>
      <c r="O758" s="24"/>
      <c r="P758" s="24"/>
      <c r="Q758" s="24"/>
      <c r="R758" s="24"/>
      <c r="S758" s="24"/>
      <c r="T758" s="24"/>
      <c r="U758" s="24"/>
      <c r="V758" s="24"/>
      <c r="W758" s="24"/>
      <c r="X758" s="24"/>
      <c r="Y758" s="24"/>
      <c r="Z758" s="24"/>
      <c r="AA758" s="24"/>
      <c r="AB758" s="24"/>
    </row>
    <row r="759" spans="14:28" ht="15.75" customHeight="1">
      <c r="N759" s="24"/>
      <c r="O759" s="24"/>
      <c r="P759" s="24"/>
      <c r="Q759" s="24"/>
      <c r="R759" s="24"/>
      <c r="S759" s="24"/>
      <c r="T759" s="24"/>
      <c r="U759" s="24"/>
      <c r="V759" s="24"/>
      <c r="W759" s="24"/>
      <c r="X759" s="24"/>
      <c r="Y759" s="24"/>
      <c r="Z759" s="24"/>
      <c r="AA759" s="24"/>
      <c r="AB759" s="24"/>
    </row>
    <row r="760" spans="14:28" ht="15.75" customHeight="1">
      <c r="N760" s="24"/>
      <c r="O760" s="24"/>
      <c r="P760" s="24"/>
      <c r="Q760" s="24"/>
      <c r="R760" s="24"/>
      <c r="S760" s="24"/>
      <c r="T760" s="24"/>
      <c r="U760" s="24"/>
      <c r="V760" s="24"/>
      <c r="W760" s="24"/>
      <c r="X760" s="24"/>
      <c r="Y760" s="24"/>
      <c r="Z760" s="24"/>
      <c r="AA760" s="24"/>
      <c r="AB760" s="24"/>
    </row>
    <row r="761" spans="14:28" ht="15.75" customHeight="1">
      <c r="N761" s="24"/>
      <c r="O761" s="24"/>
      <c r="P761" s="24"/>
      <c r="Q761" s="24"/>
      <c r="R761" s="24"/>
      <c r="S761" s="24"/>
      <c r="T761" s="24"/>
      <c r="U761" s="24"/>
      <c r="V761" s="24"/>
      <c r="W761" s="24"/>
      <c r="X761" s="24"/>
      <c r="Y761" s="24"/>
      <c r="Z761" s="24"/>
      <c r="AA761" s="24"/>
      <c r="AB761" s="24"/>
    </row>
    <row r="762" spans="14:28" ht="15.75" customHeight="1">
      <c r="N762" s="24"/>
      <c r="O762" s="24"/>
      <c r="P762" s="24"/>
      <c r="Q762" s="24"/>
      <c r="R762" s="24"/>
      <c r="S762" s="24"/>
      <c r="T762" s="24"/>
      <c r="U762" s="24"/>
      <c r="V762" s="24"/>
      <c r="W762" s="24"/>
      <c r="X762" s="24"/>
      <c r="Y762" s="24"/>
      <c r="Z762" s="24"/>
      <c r="AA762" s="24"/>
      <c r="AB762" s="24"/>
    </row>
    <row r="763" spans="14:28" ht="15.75" customHeight="1">
      <c r="N763" s="24"/>
      <c r="O763" s="24"/>
      <c r="P763" s="24"/>
      <c r="Q763" s="24"/>
      <c r="R763" s="24"/>
      <c r="S763" s="24"/>
      <c r="T763" s="24"/>
      <c r="U763" s="24"/>
      <c r="V763" s="24"/>
      <c r="W763" s="24"/>
      <c r="X763" s="24"/>
      <c r="Y763" s="24"/>
      <c r="Z763" s="24"/>
      <c r="AA763" s="24"/>
      <c r="AB763" s="24"/>
    </row>
    <row r="764" spans="14:28" ht="15.75" customHeight="1">
      <c r="N764" s="24"/>
      <c r="O764" s="24"/>
      <c r="P764" s="24"/>
      <c r="Q764" s="24"/>
      <c r="R764" s="24"/>
      <c r="S764" s="24"/>
      <c r="T764" s="24"/>
      <c r="U764" s="24"/>
      <c r="V764" s="24"/>
      <c r="W764" s="24"/>
      <c r="X764" s="24"/>
      <c r="Y764" s="24"/>
      <c r="Z764" s="24"/>
      <c r="AA764" s="24"/>
      <c r="AB764" s="24"/>
    </row>
    <row r="765" spans="14:28" ht="15.75" customHeight="1">
      <c r="N765" s="24"/>
      <c r="O765" s="24"/>
      <c r="P765" s="24"/>
      <c r="Q765" s="24"/>
      <c r="R765" s="24"/>
      <c r="S765" s="24"/>
      <c r="T765" s="24"/>
      <c r="U765" s="24"/>
      <c r="V765" s="24"/>
      <c r="W765" s="24"/>
      <c r="X765" s="24"/>
      <c r="Y765" s="24"/>
      <c r="Z765" s="24"/>
      <c r="AA765" s="24"/>
      <c r="AB765" s="24"/>
    </row>
    <row r="766" spans="14:28" ht="15.75" customHeight="1">
      <c r="N766" s="24"/>
      <c r="O766" s="24"/>
      <c r="P766" s="24"/>
      <c r="Q766" s="24"/>
      <c r="R766" s="24"/>
      <c r="S766" s="24"/>
      <c r="T766" s="24"/>
      <c r="U766" s="24"/>
      <c r="V766" s="24"/>
      <c r="W766" s="24"/>
      <c r="X766" s="24"/>
      <c r="Y766" s="24"/>
      <c r="Z766" s="24"/>
      <c r="AA766" s="24"/>
      <c r="AB766" s="24"/>
    </row>
    <row r="767" spans="14:28" ht="15.75" customHeight="1">
      <c r="N767" s="24"/>
      <c r="O767" s="24"/>
      <c r="P767" s="24"/>
      <c r="Q767" s="24"/>
      <c r="R767" s="24"/>
      <c r="S767" s="24"/>
      <c r="T767" s="24"/>
      <c r="U767" s="24"/>
      <c r="V767" s="24"/>
      <c r="W767" s="24"/>
      <c r="X767" s="24"/>
      <c r="Y767" s="24"/>
      <c r="Z767" s="24"/>
      <c r="AA767" s="24"/>
      <c r="AB767" s="24"/>
    </row>
    <row r="768" spans="14:28" ht="15.75" customHeight="1">
      <c r="N768" s="24"/>
      <c r="O768" s="24"/>
      <c r="P768" s="24"/>
      <c r="Q768" s="24"/>
      <c r="R768" s="24"/>
      <c r="S768" s="24"/>
      <c r="T768" s="24"/>
      <c r="U768" s="24"/>
      <c r="V768" s="24"/>
      <c r="W768" s="24"/>
      <c r="X768" s="24"/>
      <c r="Y768" s="24"/>
      <c r="Z768" s="24"/>
      <c r="AA768" s="24"/>
      <c r="AB768" s="24"/>
    </row>
    <row r="769" spans="14:28" ht="15.75" customHeight="1">
      <c r="N769" s="24"/>
      <c r="O769" s="24"/>
      <c r="P769" s="24"/>
      <c r="Q769" s="24"/>
      <c r="R769" s="24"/>
      <c r="S769" s="24"/>
      <c r="T769" s="24"/>
      <c r="U769" s="24"/>
      <c r="V769" s="24"/>
      <c r="W769" s="24"/>
      <c r="X769" s="24"/>
      <c r="Y769" s="24"/>
      <c r="Z769" s="24"/>
      <c r="AA769" s="24"/>
      <c r="AB769" s="24"/>
    </row>
    <row r="770" spans="14:28" ht="15.75" customHeight="1">
      <c r="N770" s="24"/>
      <c r="O770" s="24"/>
      <c r="P770" s="24"/>
      <c r="Q770" s="24"/>
      <c r="R770" s="24"/>
      <c r="S770" s="24"/>
      <c r="T770" s="24"/>
      <c r="U770" s="24"/>
      <c r="V770" s="24"/>
      <c r="W770" s="24"/>
      <c r="X770" s="24"/>
      <c r="Y770" s="24"/>
      <c r="Z770" s="24"/>
      <c r="AA770" s="24"/>
      <c r="AB770" s="24"/>
    </row>
    <row r="771" spans="14:28" ht="15.75" customHeight="1">
      <c r="N771" s="24"/>
      <c r="O771" s="24"/>
      <c r="P771" s="24"/>
      <c r="Q771" s="24"/>
      <c r="R771" s="24"/>
      <c r="S771" s="24"/>
      <c r="T771" s="24"/>
      <c r="U771" s="24"/>
      <c r="V771" s="24"/>
      <c r="W771" s="24"/>
      <c r="X771" s="24"/>
      <c r="Y771" s="24"/>
      <c r="Z771" s="24"/>
      <c r="AA771" s="24"/>
      <c r="AB771" s="24"/>
    </row>
    <row r="772" spans="14:28" ht="15.75" customHeight="1">
      <c r="N772" s="24"/>
      <c r="O772" s="24"/>
      <c r="P772" s="24"/>
      <c r="Q772" s="24"/>
      <c r="R772" s="24"/>
      <c r="S772" s="24"/>
      <c r="T772" s="24"/>
      <c r="U772" s="24"/>
      <c r="V772" s="24"/>
      <c r="W772" s="24"/>
      <c r="X772" s="24"/>
      <c r="Y772" s="24"/>
      <c r="Z772" s="24"/>
      <c r="AA772" s="24"/>
      <c r="AB772" s="24"/>
    </row>
    <row r="773" spans="14:28" ht="15.75" customHeight="1">
      <c r="N773" s="24"/>
      <c r="O773" s="24"/>
      <c r="P773" s="24"/>
      <c r="Q773" s="24"/>
      <c r="R773" s="24"/>
      <c r="S773" s="24"/>
      <c r="T773" s="24"/>
      <c r="U773" s="24"/>
      <c r="V773" s="24"/>
      <c r="W773" s="24"/>
      <c r="X773" s="24"/>
      <c r="Y773" s="24"/>
      <c r="Z773" s="24"/>
      <c r="AA773" s="24"/>
      <c r="AB773" s="24"/>
    </row>
    <row r="774" spans="14:28" ht="15.75" customHeight="1">
      <c r="N774" s="24"/>
      <c r="O774" s="24"/>
      <c r="P774" s="24"/>
      <c r="Q774" s="24"/>
      <c r="R774" s="24"/>
      <c r="S774" s="24"/>
      <c r="T774" s="24"/>
      <c r="U774" s="24"/>
      <c r="V774" s="24"/>
      <c r="W774" s="24"/>
      <c r="X774" s="24"/>
      <c r="Y774" s="24"/>
      <c r="Z774" s="24"/>
      <c r="AA774" s="24"/>
      <c r="AB774" s="24"/>
    </row>
    <row r="775" spans="14:28" ht="15.75" customHeight="1">
      <c r="N775" s="24"/>
      <c r="O775" s="24"/>
      <c r="P775" s="24"/>
      <c r="Q775" s="24"/>
      <c r="R775" s="24"/>
      <c r="S775" s="24"/>
      <c r="T775" s="24"/>
      <c r="U775" s="24"/>
      <c r="V775" s="24"/>
      <c r="W775" s="24"/>
      <c r="X775" s="24"/>
      <c r="Y775" s="24"/>
      <c r="Z775" s="24"/>
      <c r="AA775" s="24"/>
      <c r="AB775" s="24"/>
    </row>
    <row r="776" spans="14:28" ht="15.75" customHeight="1">
      <c r="N776" s="24"/>
      <c r="O776" s="24"/>
      <c r="P776" s="24"/>
      <c r="Q776" s="24"/>
      <c r="R776" s="24"/>
      <c r="S776" s="24"/>
      <c r="T776" s="24"/>
      <c r="U776" s="24"/>
      <c r="V776" s="24"/>
      <c r="W776" s="24"/>
      <c r="X776" s="24"/>
      <c r="Y776" s="24"/>
      <c r="Z776" s="24"/>
      <c r="AA776" s="24"/>
      <c r="AB776" s="24"/>
    </row>
    <row r="777" spans="14:28" ht="15.75" customHeight="1">
      <c r="N777" s="24"/>
      <c r="O777" s="24"/>
      <c r="P777" s="24"/>
      <c r="Q777" s="24"/>
      <c r="R777" s="24"/>
      <c r="S777" s="24"/>
      <c r="T777" s="24"/>
      <c r="U777" s="24"/>
      <c r="V777" s="24"/>
      <c r="W777" s="24"/>
      <c r="X777" s="24"/>
      <c r="Y777" s="24"/>
      <c r="Z777" s="24"/>
      <c r="AA777" s="24"/>
      <c r="AB777" s="24"/>
    </row>
    <row r="778" spans="14:28" ht="15.75" customHeight="1">
      <c r="N778" s="24"/>
      <c r="O778" s="24"/>
      <c r="P778" s="24"/>
      <c r="Q778" s="24"/>
      <c r="R778" s="24"/>
      <c r="S778" s="24"/>
      <c r="T778" s="24"/>
      <c r="U778" s="24"/>
      <c r="V778" s="24"/>
      <c r="W778" s="24"/>
      <c r="X778" s="24"/>
      <c r="Y778" s="24"/>
      <c r="Z778" s="24"/>
      <c r="AA778" s="24"/>
      <c r="AB778" s="24"/>
    </row>
    <row r="779" spans="14:28" ht="15.75" customHeight="1">
      <c r="N779" s="24"/>
      <c r="O779" s="24"/>
      <c r="P779" s="24"/>
      <c r="Q779" s="24"/>
      <c r="R779" s="24"/>
      <c r="S779" s="24"/>
      <c r="T779" s="24"/>
      <c r="U779" s="24"/>
      <c r="V779" s="24"/>
      <c r="W779" s="24"/>
      <c r="X779" s="24"/>
      <c r="Y779" s="24"/>
      <c r="Z779" s="24"/>
      <c r="AA779" s="24"/>
      <c r="AB779" s="24"/>
    </row>
    <row r="780" spans="14:28" ht="15.75" customHeight="1">
      <c r="N780" s="24"/>
      <c r="O780" s="24"/>
      <c r="P780" s="24"/>
      <c r="Q780" s="24"/>
      <c r="R780" s="24"/>
      <c r="S780" s="24"/>
      <c r="T780" s="24"/>
      <c r="U780" s="24"/>
      <c r="V780" s="24"/>
      <c r="W780" s="24"/>
      <c r="X780" s="24"/>
      <c r="Y780" s="24"/>
      <c r="Z780" s="24"/>
      <c r="AA780" s="24"/>
      <c r="AB780" s="24"/>
    </row>
    <row r="781" spans="14:28" ht="15.75" customHeight="1">
      <c r="N781" s="24"/>
      <c r="O781" s="24"/>
      <c r="P781" s="24"/>
      <c r="Q781" s="24"/>
      <c r="R781" s="24"/>
      <c r="S781" s="24"/>
      <c r="T781" s="24"/>
      <c r="U781" s="24"/>
      <c r="V781" s="24"/>
      <c r="W781" s="24"/>
      <c r="X781" s="24"/>
      <c r="Y781" s="24"/>
      <c r="Z781" s="24"/>
      <c r="AA781" s="24"/>
      <c r="AB781" s="24"/>
    </row>
    <row r="782" spans="14:28" ht="15.75" customHeight="1">
      <c r="N782" s="24"/>
      <c r="O782" s="24"/>
      <c r="P782" s="24"/>
      <c r="Q782" s="24"/>
      <c r="R782" s="24"/>
      <c r="S782" s="24"/>
      <c r="T782" s="24"/>
      <c r="U782" s="24"/>
      <c r="V782" s="24"/>
      <c r="W782" s="24"/>
      <c r="X782" s="24"/>
      <c r="Y782" s="24"/>
      <c r="Z782" s="24"/>
      <c r="AA782" s="24"/>
      <c r="AB782" s="24"/>
    </row>
    <row r="783" spans="14:28" ht="15.75" customHeight="1">
      <c r="N783" s="24"/>
      <c r="O783" s="24"/>
      <c r="P783" s="24"/>
      <c r="Q783" s="24"/>
      <c r="R783" s="24"/>
      <c r="S783" s="24"/>
      <c r="T783" s="24"/>
      <c r="U783" s="24"/>
      <c r="V783" s="24"/>
      <c r="W783" s="24"/>
      <c r="X783" s="24"/>
      <c r="Y783" s="24"/>
      <c r="Z783" s="24"/>
      <c r="AA783" s="24"/>
      <c r="AB783" s="24"/>
    </row>
    <row r="784" spans="14:28" ht="15.75" customHeight="1">
      <c r="N784" s="24"/>
      <c r="O784" s="24"/>
      <c r="P784" s="24"/>
      <c r="Q784" s="24"/>
      <c r="R784" s="24"/>
      <c r="S784" s="24"/>
      <c r="T784" s="24"/>
      <c r="U784" s="24"/>
      <c r="V784" s="24"/>
      <c r="W784" s="24"/>
      <c r="X784" s="24"/>
      <c r="Y784" s="24"/>
      <c r="Z784" s="24"/>
      <c r="AA784" s="24"/>
      <c r="AB784" s="24"/>
    </row>
    <row r="785" spans="14:28" ht="15.75" customHeight="1">
      <c r="N785" s="24"/>
      <c r="O785" s="24"/>
      <c r="P785" s="24"/>
      <c r="Q785" s="24"/>
      <c r="R785" s="24"/>
      <c r="S785" s="24"/>
      <c r="T785" s="24"/>
      <c r="U785" s="24"/>
      <c r="V785" s="24"/>
      <c r="W785" s="24"/>
      <c r="X785" s="24"/>
      <c r="Y785" s="24"/>
      <c r="Z785" s="24"/>
      <c r="AA785" s="24"/>
      <c r="AB785" s="24"/>
    </row>
    <row r="786" spans="14:28" ht="15.75" customHeight="1">
      <c r="N786" s="24"/>
      <c r="O786" s="24"/>
      <c r="P786" s="24"/>
      <c r="Q786" s="24"/>
      <c r="R786" s="24"/>
      <c r="S786" s="24"/>
      <c r="T786" s="24"/>
      <c r="U786" s="24"/>
      <c r="V786" s="24"/>
      <c r="W786" s="24"/>
      <c r="X786" s="24"/>
      <c r="Y786" s="24"/>
      <c r="Z786" s="24"/>
      <c r="AA786" s="24"/>
      <c r="AB786" s="24"/>
    </row>
    <row r="787" spans="14:28" ht="15.75" customHeight="1">
      <c r="N787" s="24"/>
      <c r="O787" s="24"/>
      <c r="P787" s="24"/>
      <c r="Q787" s="24"/>
      <c r="R787" s="24"/>
      <c r="S787" s="24"/>
      <c r="T787" s="24"/>
      <c r="U787" s="24"/>
      <c r="V787" s="24"/>
      <c r="W787" s="24"/>
      <c r="X787" s="24"/>
      <c r="Y787" s="24"/>
      <c r="Z787" s="24"/>
      <c r="AA787" s="24"/>
      <c r="AB787" s="24"/>
    </row>
    <row r="788" spans="14:28" ht="15.75" customHeight="1">
      <c r="N788" s="24"/>
      <c r="O788" s="24"/>
      <c r="P788" s="24"/>
      <c r="Q788" s="24"/>
      <c r="R788" s="24"/>
      <c r="S788" s="24"/>
      <c r="T788" s="24"/>
      <c r="U788" s="24"/>
      <c r="V788" s="24"/>
      <c r="W788" s="24"/>
      <c r="X788" s="24"/>
      <c r="Y788" s="24"/>
      <c r="Z788" s="24"/>
      <c r="AA788" s="24"/>
      <c r="AB788" s="24"/>
    </row>
    <row r="789" spans="14:28" ht="15.75" customHeight="1">
      <c r="N789" s="24"/>
      <c r="O789" s="24"/>
      <c r="P789" s="24"/>
      <c r="Q789" s="24"/>
      <c r="R789" s="24"/>
      <c r="S789" s="24"/>
      <c r="T789" s="24"/>
      <c r="U789" s="24"/>
      <c r="V789" s="24"/>
      <c r="W789" s="24"/>
      <c r="X789" s="24"/>
      <c r="Y789" s="24"/>
      <c r="Z789" s="24"/>
      <c r="AA789" s="24"/>
      <c r="AB789" s="24"/>
    </row>
    <row r="790" spans="14:28" ht="15.75" customHeight="1">
      <c r="N790" s="24"/>
      <c r="O790" s="24"/>
      <c r="P790" s="24"/>
      <c r="Q790" s="24"/>
      <c r="R790" s="24"/>
      <c r="S790" s="24"/>
      <c r="T790" s="24"/>
      <c r="U790" s="24"/>
      <c r="V790" s="24"/>
      <c r="W790" s="24"/>
      <c r="X790" s="24"/>
      <c r="Y790" s="24"/>
      <c r="Z790" s="24"/>
      <c r="AA790" s="24"/>
      <c r="AB790" s="24"/>
    </row>
    <row r="791" spans="14:28" ht="15.75" customHeight="1">
      <c r="N791" s="24"/>
      <c r="O791" s="24"/>
      <c r="P791" s="24"/>
      <c r="Q791" s="24"/>
      <c r="R791" s="24"/>
      <c r="S791" s="24"/>
      <c r="T791" s="24"/>
      <c r="U791" s="24"/>
      <c r="V791" s="24"/>
      <c r="W791" s="24"/>
      <c r="X791" s="24"/>
      <c r="Y791" s="24"/>
      <c r="Z791" s="24"/>
      <c r="AA791" s="24"/>
      <c r="AB791" s="24"/>
    </row>
    <row r="792" spans="14:28" ht="15.75" customHeight="1">
      <c r="N792" s="24"/>
      <c r="O792" s="24"/>
      <c r="P792" s="24"/>
      <c r="Q792" s="24"/>
      <c r="R792" s="24"/>
      <c r="S792" s="24"/>
      <c r="T792" s="24"/>
      <c r="U792" s="24"/>
      <c r="V792" s="24"/>
      <c r="W792" s="24"/>
      <c r="X792" s="24"/>
      <c r="Y792" s="24"/>
      <c r="Z792" s="24"/>
      <c r="AA792" s="24"/>
      <c r="AB792" s="24"/>
    </row>
    <row r="793" spans="14:28" ht="15.75" customHeight="1">
      <c r="N793" s="24"/>
      <c r="O793" s="24"/>
      <c r="P793" s="24"/>
      <c r="Q793" s="24"/>
      <c r="R793" s="24"/>
      <c r="S793" s="24"/>
      <c r="T793" s="24"/>
      <c r="U793" s="24"/>
      <c r="V793" s="24"/>
      <c r="W793" s="24"/>
      <c r="X793" s="24"/>
      <c r="Y793" s="24"/>
      <c r="Z793" s="24"/>
      <c r="AA793" s="24"/>
      <c r="AB793" s="24"/>
    </row>
    <row r="794" spans="14:28" ht="15.75" customHeight="1">
      <c r="N794" s="24"/>
      <c r="O794" s="24"/>
      <c r="P794" s="24"/>
      <c r="Q794" s="24"/>
      <c r="R794" s="24"/>
      <c r="S794" s="24"/>
      <c r="T794" s="24"/>
      <c r="U794" s="24"/>
      <c r="V794" s="24"/>
      <c r="W794" s="24"/>
      <c r="X794" s="24"/>
      <c r="Y794" s="24"/>
      <c r="Z794" s="24"/>
      <c r="AA794" s="24"/>
      <c r="AB794" s="24"/>
    </row>
    <row r="795" spans="14:28" ht="15.75" customHeight="1">
      <c r="N795" s="24"/>
      <c r="O795" s="24"/>
      <c r="P795" s="24"/>
      <c r="Q795" s="24"/>
      <c r="R795" s="24"/>
      <c r="S795" s="24"/>
      <c r="T795" s="24"/>
      <c r="U795" s="24"/>
      <c r="V795" s="24"/>
      <c r="W795" s="24"/>
      <c r="X795" s="24"/>
      <c r="Y795" s="24"/>
      <c r="Z795" s="24"/>
      <c r="AA795" s="24"/>
      <c r="AB795" s="24"/>
    </row>
    <row r="796" spans="14:28" ht="15.75" customHeight="1">
      <c r="N796" s="24"/>
      <c r="O796" s="24"/>
      <c r="P796" s="24"/>
      <c r="Q796" s="24"/>
      <c r="R796" s="24"/>
      <c r="S796" s="24"/>
      <c r="T796" s="24"/>
      <c r="U796" s="24"/>
      <c r="V796" s="24"/>
      <c r="W796" s="24"/>
      <c r="X796" s="24"/>
      <c r="Y796" s="24"/>
      <c r="Z796" s="24"/>
      <c r="AA796" s="24"/>
      <c r="AB796" s="24"/>
    </row>
    <row r="797" spans="14:28" ht="15.75" customHeight="1">
      <c r="N797" s="24"/>
      <c r="O797" s="24"/>
      <c r="P797" s="24"/>
      <c r="Q797" s="24"/>
      <c r="R797" s="24"/>
      <c r="S797" s="24"/>
      <c r="T797" s="24"/>
      <c r="U797" s="24"/>
      <c r="V797" s="24"/>
      <c r="W797" s="24"/>
      <c r="X797" s="24"/>
      <c r="Y797" s="24"/>
      <c r="Z797" s="24"/>
      <c r="AA797" s="24"/>
      <c r="AB797" s="24"/>
    </row>
    <row r="798" spans="14:28" ht="15.75" customHeight="1">
      <c r="N798" s="24"/>
      <c r="O798" s="24"/>
      <c r="P798" s="24"/>
      <c r="Q798" s="24"/>
      <c r="R798" s="24"/>
      <c r="S798" s="24"/>
      <c r="T798" s="24"/>
      <c r="U798" s="24"/>
      <c r="V798" s="24"/>
      <c r="W798" s="24"/>
      <c r="X798" s="24"/>
      <c r="Y798" s="24"/>
      <c r="Z798" s="24"/>
      <c r="AA798" s="24"/>
      <c r="AB798" s="24"/>
    </row>
    <row r="799" spans="14:28" ht="15.75" customHeight="1">
      <c r="N799" s="24"/>
      <c r="O799" s="24"/>
      <c r="P799" s="24"/>
      <c r="Q799" s="24"/>
      <c r="R799" s="24"/>
      <c r="S799" s="24"/>
      <c r="T799" s="24"/>
      <c r="U799" s="24"/>
      <c r="V799" s="24"/>
      <c r="W799" s="24"/>
      <c r="X799" s="24"/>
      <c r="Y799" s="24"/>
      <c r="Z799" s="24"/>
      <c r="AA799" s="24"/>
      <c r="AB799" s="24"/>
    </row>
    <row r="800" spans="14:28" ht="15.75" customHeight="1">
      <c r="N800" s="24"/>
      <c r="O800" s="24"/>
      <c r="P800" s="24"/>
      <c r="Q800" s="24"/>
      <c r="R800" s="24"/>
      <c r="S800" s="24"/>
      <c r="T800" s="24"/>
      <c r="U800" s="24"/>
      <c r="V800" s="24"/>
      <c r="W800" s="24"/>
      <c r="X800" s="24"/>
      <c r="Y800" s="24"/>
      <c r="Z800" s="24"/>
      <c r="AA800" s="24"/>
      <c r="AB800" s="24"/>
    </row>
    <row r="801" spans="14:28" ht="15.75" customHeight="1">
      <c r="N801" s="24"/>
      <c r="O801" s="24"/>
      <c r="P801" s="24"/>
      <c r="Q801" s="24"/>
      <c r="R801" s="24"/>
      <c r="S801" s="24"/>
      <c r="T801" s="24"/>
      <c r="U801" s="24"/>
      <c r="V801" s="24"/>
      <c r="W801" s="24"/>
      <c r="X801" s="24"/>
      <c r="Y801" s="24"/>
      <c r="Z801" s="24"/>
      <c r="AA801" s="24"/>
      <c r="AB801" s="24"/>
    </row>
    <row r="802" spans="14:28" ht="15.75" customHeight="1">
      <c r="N802" s="24"/>
      <c r="O802" s="24"/>
      <c r="P802" s="24"/>
      <c r="Q802" s="24"/>
      <c r="R802" s="24"/>
      <c r="S802" s="24"/>
      <c r="T802" s="24"/>
      <c r="U802" s="24"/>
      <c r="V802" s="24"/>
      <c r="W802" s="24"/>
      <c r="X802" s="24"/>
      <c r="Y802" s="24"/>
      <c r="Z802" s="24"/>
      <c r="AA802" s="24"/>
      <c r="AB802" s="24"/>
    </row>
    <row r="803" spans="14:28" ht="15.75" customHeight="1">
      <c r="N803" s="24"/>
      <c r="O803" s="24"/>
      <c r="P803" s="24"/>
      <c r="Q803" s="24"/>
      <c r="R803" s="24"/>
      <c r="S803" s="24"/>
      <c r="T803" s="24"/>
      <c r="U803" s="24"/>
      <c r="V803" s="24"/>
      <c r="W803" s="24"/>
      <c r="X803" s="24"/>
      <c r="Y803" s="24"/>
      <c r="Z803" s="24"/>
      <c r="AA803" s="24"/>
      <c r="AB803" s="24"/>
    </row>
    <row r="804" spans="14:28" ht="15.75" customHeight="1">
      <c r="N804" s="24"/>
      <c r="O804" s="24"/>
      <c r="P804" s="24"/>
      <c r="Q804" s="24"/>
      <c r="R804" s="24"/>
      <c r="S804" s="24"/>
      <c r="T804" s="24"/>
      <c r="U804" s="24"/>
      <c r="V804" s="24"/>
      <c r="W804" s="24"/>
      <c r="X804" s="24"/>
      <c r="Y804" s="24"/>
      <c r="Z804" s="24"/>
      <c r="AA804" s="24"/>
      <c r="AB804" s="24"/>
    </row>
    <row r="805" spans="14:28" ht="15.75" customHeight="1">
      <c r="N805" s="24"/>
      <c r="O805" s="24"/>
      <c r="P805" s="24"/>
      <c r="Q805" s="24"/>
      <c r="R805" s="24"/>
      <c r="S805" s="24"/>
      <c r="T805" s="24"/>
      <c r="U805" s="24"/>
      <c r="V805" s="24"/>
      <c r="W805" s="24"/>
      <c r="X805" s="24"/>
      <c r="Y805" s="24"/>
      <c r="Z805" s="24"/>
      <c r="AA805" s="24"/>
      <c r="AB805" s="24"/>
    </row>
    <row r="806" spans="14:28" ht="15.75" customHeight="1">
      <c r="N806" s="24"/>
      <c r="O806" s="24"/>
      <c r="P806" s="24"/>
      <c r="Q806" s="24"/>
      <c r="R806" s="24"/>
      <c r="S806" s="24"/>
      <c r="T806" s="24"/>
      <c r="U806" s="24"/>
      <c r="V806" s="24"/>
      <c r="W806" s="24"/>
      <c r="X806" s="24"/>
      <c r="Y806" s="24"/>
      <c r="Z806" s="24"/>
      <c r="AA806" s="24"/>
      <c r="AB806" s="24"/>
    </row>
    <row r="807" spans="14:28" ht="15.75" customHeight="1">
      <c r="N807" s="24"/>
      <c r="O807" s="24"/>
      <c r="P807" s="24"/>
      <c r="Q807" s="24"/>
      <c r="R807" s="24"/>
      <c r="S807" s="24"/>
      <c r="T807" s="24"/>
      <c r="U807" s="24"/>
      <c r="V807" s="24"/>
      <c r="W807" s="24"/>
      <c r="X807" s="24"/>
      <c r="Y807" s="24"/>
      <c r="Z807" s="24"/>
      <c r="AA807" s="24"/>
      <c r="AB807" s="24"/>
    </row>
    <row r="808" spans="14:28" ht="15.75" customHeight="1">
      <c r="N808" s="24"/>
      <c r="O808" s="24"/>
      <c r="P808" s="24"/>
      <c r="Q808" s="24"/>
      <c r="R808" s="24"/>
      <c r="S808" s="24"/>
      <c r="T808" s="24"/>
      <c r="U808" s="24"/>
      <c r="V808" s="24"/>
      <c r="W808" s="24"/>
      <c r="X808" s="24"/>
      <c r="Y808" s="24"/>
      <c r="Z808" s="24"/>
      <c r="AA808" s="24"/>
      <c r="AB808" s="24"/>
    </row>
    <row r="809" spans="14:28" ht="15.75" customHeight="1">
      <c r="N809" s="24"/>
      <c r="O809" s="24"/>
      <c r="P809" s="24"/>
      <c r="Q809" s="24"/>
      <c r="R809" s="24"/>
      <c r="S809" s="24"/>
      <c r="T809" s="24"/>
      <c r="U809" s="24"/>
      <c r="V809" s="24"/>
      <c r="W809" s="24"/>
      <c r="X809" s="24"/>
      <c r="Y809" s="24"/>
      <c r="Z809" s="24"/>
      <c r="AA809" s="24"/>
      <c r="AB809" s="24"/>
    </row>
    <row r="810" spans="14:28" ht="15.75" customHeight="1">
      <c r="N810" s="24"/>
      <c r="O810" s="24"/>
      <c r="P810" s="24"/>
      <c r="Q810" s="24"/>
      <c r="R810" s="24"/>
      <c r="S810" s="24"/>
      <c r="T810" s="24"/>
      <c r="U810" s="24"/>
      <c r="V810" s="24"/>
      <c r="W810" s="24"/>
      <c r="X810" s="24"/>
      <c r="Y810" s="24"/>
      <c r="Z810" s="24"/>
      <c r="AA810" s="24"/>
      <c r="AB810" s="24"/>
    </row>
    <row r="811" spans="14:28" ht="15.75" customHeight="1">
      <c r="N811" s="24"/>
      <c r="O811" s="24"/>
      <c r="P811" s="24"/>
      <c r="Q811" s="24"/>
      <c r="R811" s="24"/>
      <c r="S811" s="24"/>
      <c r="T811" s="24"/>
      <c r="U811" s="24"/>
      <c r="V811" s="24"/>
      <c r="W811" s="24"/>
      <c r="X811" s="24"/>
      <c r="Y811" s="24"/>
      <c r="Z811" s="24"/>
      <c r="AA811" s="24"/>
      <c r="AB811" s="24"/>
    </row>
    <row r="812" spans="14:28" ht="15.75" customHeight="1">
      <c r="N812" s="24"/>
      <c r="O812" s="24"/>
      <c r="P812" s="24"/>
      <c r="Q812" s="24"/>
      <c r="R812" s="24"/>
      <c r="S812" s="24"/>
      <c r="T812" s="24"/>
      <c r="U812" s="24"/>
      <c r="V812" s="24"/>
      <c r="W812" s="24"/>
      <c r="X812" s="24"/>
      <c r="Y812" s="24"/>
      <c r="Z812" s="24"/>
      <c r="AA812" s="24"/>
      <c r="AB812" s="24"/>
    </row>
    <row r="813" spans="14:28" ht="15.75" customHeight="1">
      <c r="N813" s="24"/>
      <c r="O813" s="24"/>
      <c r="P813" s="24"/>
      <c r="Q813" s="24"/>
      <c r="R813" s="24"/>
      <c r="S813" s="24"/>
      <c r="T813" s="24"/>
      <c r="U813" s="24"/>
      <c r="V813" s="24"/>
      <c r="W813" s="24"/>
      <c r="X813" s="24"/>
      <c r="Y813" s="24"/>
      <c r="Z813" s="24"/>
      <c r="AA813" s="24"/>
      <c r="AB813" s="24"/>
    </row>
    <row r="814" spans="14:28" ht="15.75" customHeight="1">
      <c r="N814" s="24"/>
      <c r="O814" s="24"/>
      <c r="P814" s="24"/>
      <c r="Q814" s="24"/>
      <c r="R814" s="24"/>
      <c r="S814" s="24"/>
      <c r="T814" s="24"/>
      <c r="U814" s="24"/>
      <c r="V814" s="24"/>
      <c r="W814" s="24"/>
      <c r="X814" s="24"/>
      <c r="Y814" s="24"/>
      <c r="Z814" s="24"/>
      <c r="AA814" s="24"/>
      <c r="AB814" s="24"/>
    </row>
    <row r="815" spans="14:28" ht="15.75" customHeight="1">
      <c r="N815" s="24"/>
      <c r="O815" s="24"/>
      <c r="P815" s="24"/>
      <c r="Q815" s="24"/>
      <c r="R815" s="24"/>
      <c r="S815" s="24"/>
      <c r="T815" s="24"/>
      <c r="U815" s="24"/>
      <c r="V815" s="24"/>
      <c r="W815" s="24"/>
      <c r="X815" s="24"/>
      <c r="Y815" s="24"/>
      <c r="Z815" s="24"/>
      <c r="AA815" s="24"/>
      <c r="AB815" s="24"/>
    </row>
    <row r="816" spans="14:28" ht="15.75" customHeight="1">
      <c r="N816" s="24"/>
      <c r="O816" s="24"/>
      <c r="P816" s="24"/>
      <c r="Q816" s="24"/>
      <c r="R816" s="24"/>
      <c r="S816" s="24"/>
      <c r="T816" s="24"/>
      <c r="U816" s="24"/>
      <c r="V816" s="24"/>
      <c r="W816" s="24"/>
      <c r="X816" s="24"/>
      <c r="Y816" s="24"/>
      <c r="Z816" s="24"/>
      <c r="AA816" s="24"/>
      <c r="AB816" s="24"/>
    </row>
    <row r="817" spans="14:28" ht="15.75" customHeight="1">
      <c r="N817" s="24"/>
      <c r="O817" s="24"/>
      <c r="P817" s="24"/>
      <c r="Q817" s="24"/>
      <c r="R817" s="24"/>
      <c r="S817" s="24"/>
      <c r="T817" s="24"/>
      <c r="U817" s="24"/>
      <c r="V817" s="24"/>
      <c r="W817" s="24"/>
      <c r="X817" s="24"/>
      <c r="Y817" s="24"/>
      <c r="Z817" s="24"/>
      <c r="AA817" s="24"/>
      <c r="AB817" s="24"/>
    </row>
    <row r="818" spans="14:28" ht="15.75" customHeight="1">
      <c r="N818" s="24"/>
      <c r="O818" s="24"/>
      <c r="P818" s="24"/>
      <c r="Q818" s="24"/>
      <c r="R818" s="24"/>
      <c r="S818" s="24"/>
      <c r="T818" s="24"/>
      <c r="U818" s="24"/>
      <c r="V818" s="24"/>
      <c r="W818" s="24"/>
      <c r="X818" s="24"/>
      <c r="Y818" s="24"/>
      <c r="Z818" s="24"/>
      <c r="AA818" s="24"/>
      <c r="AB818" s="24"/>
    </row>
    <row r="819" spans="14:28" ht="15.75" customHeight="1">
      <c r="N819" s="24"/>
      <c r="O819" s="24"/>
      <c r="P819" s="24"/>
      <c r="Q819" s="24"/>
      <c r="R819" s="24"/>
      <c r="S819" s="24"/>
      <c r="T819" s="24"/>
      <c r="U819" s="24"/>
      <c r="V819" s="24"/>
      <c r="W819" s="24"/>
      <c r="X819" s="24"/>
      <c r="Y819" s="24"/>
      <c r="Z819" s="24"/>
      <c r="AA819" s="24"/>
      <c r="AB819" s="24"/>
    </row>
    <row r="820" spans="14:28" ht="15.75" customHeight="1">
      <c r="N820" s="24"/>
      <c r="O820" s="24"/>
      <c r="P820" s="24"/>
      <c r="Q820" s="24"/>
      <c r="R820" s="24"/>
      <c r="S820" s="24"/>
      <c r="T820" s="24"/>
      <c r="U820" s="24"/>
      <c r="V820" s="24"/>
      <c r="W820" s="24"/>
      <c r="X820" s="24"/>
      <c r="Y820" s="24"/>
      <c r="Z820" s="24"/>
      <c r="AA820" s="24"/>
      <c r="AB820" s="24"/>
    </row>
    <row r="821" spans="14:28" ht="15.75" customHeight="1">
      <c r="N821" s="24"/>
      <c r="O821" s="24"/>
      <c r="P821" s="24"/>
      <c r="Q821" s="24"/>
      <c r="R821" s="24"/>
      <c r="S821" s="24"/>
      <c r="T821" s="24"/>
      <c r="U821" s="24"/>
      <c r="V821" s="24"/>
      <c r="W821" s="24"/>
      <c r="X821" s="24"/>
      <c r="Y821" s="24"/>
      <c r="Z821" s="24"/>
      <c r="AA821" s="24"/>
      <c r="AB821" s="24"/>
    </row>
    <row r="822" spans="14:28" ht="15.75" customHeight="1">
      <c r="N822" s="24"/>
      <c r="O822" s="24"/>
      <c r="P822" s="24"/>
      <c r="Q822" s="24"/>
      <c r="R822" s="24"/>
      <c r="S822" s="24"/>
      <c r="T822" s="24"/>
      <c r="U822" s="24"/>
      <c r="V822" s="24"/>
      <c r="W822" s="24"/>
      <c r="X822" s="24"/>
      <c r="Y822" s="24"/>
      <c r="Z822" s="24"/>
      <c r="AA822" s="24"/>
      <c r="AB822" s="24"/>
    </row>
    <row r="823" spans="14:28" ht="15.75" customHeight="1">
      <c r="N823" s="24"/>
      <c r="O823" s="24"/>
      <c r="P823" s="24"/>
      <c r="Q823" s="24"/>
      <c r="R823" s="24"/>
      <c r="S823" s="24"/>
      <c r="T823" s="24"/>
      <c r="U823" s="24"/>
      <c r="V823" s="24"/>
      <c r="W823" s="24"/>
      <c r="X823" s="24"/>
      <c r="Y823" s="24"/>
      <c r="Z823" s="24"/>
      <c r="AA823" s="24"/>
      <c r="AB823" s="24"/>
    </row>
    <row r="824" spans="14:28" ht="15.75" customHeight="1">
      <c r="N824" s="24"/>
      <c r="O824" s="24"/>
      <c r="P824" s="24"/>
      <c r="Q824" s="24"/>
      <c r="R824" s="24"/>
      <c r="S824" s="24"/>
      <c r="T824" s="24"/>
      <c r="U824" s="24"/>
      <c r="V824" s="24"/>
      <c r="W824" s="24"/>
      <c r="X824" s="24"/>
      <c r="Y824" s="24"/>
      <c r="Z824" s="24"/>
      <c r="AA824" s="24"/>
      <c r="AB824" s="24"/>
    </row>
    <row r="825" spans="14:28" ht="15.75" customHeight="1">
      <c r="N825" s="24"/>
      <c r="O825" s="24"/>
      <c r="P825" s="24"/>
      <c r="Q825" s="24"/>
      <c r="R825" s="24"/>
      <c r="S825" s="24"/>
      <c r="T825" s="24"/>
      <c r="U825" s="24"/>
      <c r="V825" s="24"/>
      <c r="W825" s="24"/>
      <c r="X825" s="24"/>
      <c r="Y825" s="24"/>
      <c r="Z825" s="24"/>
      <c r="AA825" s="24"/>
      <c r="AB825" s="24"/>
    </row>
    <row r="826" spans="14:28" ht="15.75" customHeight="1">
      <c r="N826" s="24"/>
      <c r="O826" s="24"/>
      <c r="P826" s="24"/>
      <c r="Q826" s="24"/>
      <c r="R826" s="24"/>
      <c r="S826" s="24"/>
      <c r="T826" s="24"/>
      <c r="U826" s="24"/>
      <c r="V826" s="24"/>
      <c r="W826" s="24"/>
      <c r="X826" s="24"/>
      <c r="Y826" s="24"/>
      <c r="Z826" s="24"/>
      <c r="AA826" s="24"/>
      <c r="AB826" s="24"/>
    </row>
    <row r="827" spans="14:28" ht="15.75" customHeight="1">
      <c r="N827" s="24"/>
      <c r="O827" s="24"/>
      <c r="P827" s="24"/>
      <c r="Q827" s="24"/>
      <c r="R827" s="24"/>
      <c r="S827" s="24"/>
      <c r="T827" s="24"/>
      <c r="U827" s="24"/>
      <c r="V827" s="24"/>
      <c r="W827" s="24"/>
      <c r="X827" s="24"/>
      <c r="Y827" s="24"/>
      <c r="Z827" s="24"/>
      <c r="AA827" s="24"/>
      <c r="AB827" s="24"/>
    </row>
    <row r="828" spans="14:28" ht="15.75" customHeight="1">
      <c r="N828" s="24"/>
      <c r="O828" s="24"/>
      <c r="P828" s="24"/>
      <c r="Q828" s="24"/>
      <c r="R828" s="24"/>
      <c r="S828" s="24"/>
      <c r="T828" s="24"/>
      <c r="U828" s="24"/>
      <c r="V828" s="24"/>
      <c r="W828" s="24"/>
      <c r="X828" s="24"/>
      <c r="Y828" s="24"/>
      <c r="Z828" s="24"/>
      <c r="AA828" s="24"/>
      <c r="AB828" s="24"/>
    </row>
    <row r="829" spans="14:28" ht="15.75" customHeight="1">
      <c r="N829" s="24"/>
      <c r="O829" s="24"/>
      <c r="P829" s="24"/>
      <c r="Q829" s="24"/>
      <c r="R829" s="24"/>
      <c r="S829" s="24"/>
      <c r="T829" s="24"/>
      <c r="U829" s="24"/>
      <c r="V829" s="24"/>
      <c r="W829" s="24"/>
      <c r="X829" s="24"/>
      <c r="Y829" s="24"/>
      <c r="Z829" s="24"/>
      <c r="AA829" s="24"/>
      <c r="AB829" s="24"/>
    </row>
    <row r="830" spans="14:28" ht="15.75" customHeight="1">
      <c r="N830" s="24"/>
      <c r="O830" s="24"/>
      <c r="P830" s="24"/>
      <c r="Q830" s="24"/>
      <c r="R830" s="24"/>
      <c r="S830" s="24"/>
      <c r="T830" s="24"/>
      <c r="U830" s="24"/>
      <c r="V830" s="24"/>
      <c r="W830" s="24"/>
      <c r="X830" s="24"/>
      <c r="Y830" s="24"/>
      <c r="Z830" s="24"/>
      <c r="AA830" s="24"/>
      <c r="AB830" s="24"/>
    </row>
    <row r="831" spans="14:28" ht="15.75" customHeight="1">
      <c r="N831" s="24"/>
      <c r="O831" s="24"/>
      <c r="P831" s="24"/>
      <c r="Q831" s="24"/>
      <c r="R831" s="24"/>
      <c r="S831" s="24"/>
      <c r="T831" s="24"/>
      <c r="U831" s="24"/>
      <c r="V831" s="24"/>
      <c r="W831" s="24"/>
      <c r="X831" s="24"/>
      <c r="Y831" s="24"/>
      <c r="Z831" s="24"/>
      <c r="AA831" s="24"/>
      <c r="AB831" s="24"/>
    </row>
    <row r="832" spans="14:28" ht="15.75" customHeight="1">
      <c r="N832" s="24"/>
      <c r="O832" s="24"/>
      <c r="P832" s="24"/>
      <c r="Q832" s="24"/>
      <c r="R832" s="24"/>
      <c r="S832" s="24"/>
      <c r="T832" s="24"/>
      <c r="U832" s="24"/>
      <c r="V832" s="24"/>
      <c r="W832" s="24"/>
      <c r="X832" s="24"/>
      <c r="Y832" s="24"/>
      <c r="Z832" s="24"/>
      <c r="AA832" s="24"/>
      <c r="AB832" s="24"/>
    </row>
    <row r="833" spans="14:28" ht="15.75" customHeight="1">
      <c r="N833" s="24"/>
      <c r="O833" s="24"/>
      <c r="P833" s="24"/>
      <c r="Q833" s="24"/>
      <c r="R833" s="24"/>
      <c r="S833" s="24"/>
      <c r="T833" s="24"/>
      <c r="U833" s="24"/>
      <c r="V833" s="24"/>
      <c r="W833" s="24"/>
      <c r="X833" s="24"/>
      <c r="Y833" s="24"/>
      <c r="Z833" s="24"/>
      <c r="AA833" s="24"/>
      <c r="AB833" s="24"/>
    </row>
    <row r="834" spans="14:28" ht="15.75" customHeight="1">
      <c r="N834" s="24"/>
      <c r="O834" s="24"/>
      <c r="P834" s="24"/>
      <c r="Q834" s="24"/>
      <c r="R834" s="24"/>
      <c r="S834" s="24"/>
      <c r="T834" s="24"/>
      <c r="U834" s="24"/>
      <c r="V834" s="24"/>
      <c r="W834" s="24"/>
      <c r="X834" s="24"/>
      <c r="Y834" s="24"/>
      <c r="Z834" s="24"/>
      <c r="AA834" s="24"/>
      <c r="AB834" s="24"/>
    </row>
    <row r="835" spans="14:28" ht="15.75" customHeight="1">
      <c r="N835" s="24"/>
      <c r="O835" s="24"/>
      <c r="P835" s="24"/>
      <c r="Q835" s="24"/>
      <c r="R835" s="24"/>
      <c r="S835" s="24"/>
      <c r="T835" s="24"/>
      <c r="U835" s="24"/>
      <c r="V835" s="24"/>
      <c r="W835" s="24"/>
      <c r="X835" s="24"/>
      <c r="Y835" s="24"/>
      <c r="Z835" s="24"/>
      <c r="AA835" s="24"/>
      <c r="AB835" s="24"/>
    </row>
    <row r="836" spans="14:28" ht="15.75" customHeight="1">
      <c r="N836" s="24"/>
      <c r="O836" s="24"/>
      <c r="P836" s="24"/>
      <c r="Q836" s="24"/>
      <c r="R836" s="24"/>
      <c r="S836" s="24"/>
      <c r="T836" s="24"/>
      <c r="U836" s="24"/>
      <c r="V836" s="24"/>
      <c r="W836" s="24"/>
      <c r="X836" s="24"/>
      <c r="Y836" s="24"/>
      <c r="Z836" s="24"/>
      <c r="AA836" s="24"/>
      <c r="AB836" s="24"/>
    </row>
    <row r="837" spans="14:28" ht="15.75" customHeight="1">
      <c r="N837" s="24"/>
      <c r="O837" s="24"/>
      <c r="P837" s="24"/>
      <c r="Q837" s="24"/>
      <c r="R837" s="24"/>
      <c r="S837" s="24"/>
      <c r="T837" s="24"/>
      <c r="U837" s="24"/>
      <c r="V837" s="24"/>
      <c r="W837" s="24"/>
      <c r="X837" s="24"/>
      <c r="Y837" s="24"/>
      <c r="Z837" s="24"/>
      <c r="AA837" s="24"/>
      <c r="AB837" s="24"/>
    </row>
    <row r="838" spans="14:28" ht="15.75" customHeight="1">
      <c r="N838" s="24"/>
      <c r="O838" s="24"/>
      <c r="P838" s="24"/>
      <c r="Q838" s="24"/>
      <c r="R838" s="24"/>
      <c r="S838" s="24"/>
      <c r="T838" s="24"/>
      <c r="U838" s="24"/>
      <c r="V838" s="24"/>
      <c r="W838" s="24"/>
      <c r="X838" s="24"/>
      <c r="Y838" s="24"/>
      <c r="Z838" s="24"/>
      <c r="AA838" s="24"/>
      <c r="AB838" s="24"/>
    </row>
    <row r="839" spans="14:28" ht="15.75" customHeight="1">
      <c r="N839" s="24"/>
      <c r="O839" s="24"/>
      <c r="P839" s="24"/>
      <c r="Q839" s="24"/>
      <c r="R839" s="24"/>
      <c r="S839" s="24"/>
      <c r="T839" s="24"/>
      <c r="U839" s="24"/>
      <c r="V839" s="24"/>
      <c r="W839" s="24"/>
      <c r="X839" s="24"/>
      <c r="Y839" s="24"/>
      <c r="Z839" s="24"/>
      <c r="AA839" s="24"/>
      <c r="AB839" s="24"/>
    </row>
    <row r="840" spans="14:28" ht="15.75" customHeight="1">
      <c r="N840" s="24"/>
      <c r="O840" s="24"/>
      <c r="P840" s="24"/>
      <c r="Q840" s="24"/>
      <c r="R840" s="24"/>
      <c r="S840" s="24"/>
      <c r="T840" s="24"/>
      <c r="U840" s="24"/>
      <c r="V840" s="24"/>
      <c r="W840" s="24"/>
      <c r="X840" s="24"/>
      <c r="Y840" s="24"/>
      <c r="Z840" s="24"/>
      <c r="AA840" s="24"/>
      <c r="AB840" s="24"/>
    </row>
    <row r="841" spans="14:28" ht="15.75" customHeight="1">
      <c r="N841" s="24"/>
      <c r="O841" s="24"/>
      <c r="P841" s="24"/>
      <c r="Q841" s="24"/>
      <c r="R841" s="24"/>
      <c r="S841" s="24"/>
      <c r="T841" s="24"/>
      <c r="U841" s="24"/>
      <c r="V841" s="24"/>
      <c r="W841" s="24"/>
      <c r="X841" s="24"/>
      <c r="Y841" s="24"/>
      <c r="Z841" s="24"/>
      <c r="AA841" s="24"/>
      <c r="AB841" s="24"/>
    </row>
    <row r="842" spans="14:28" ht="15.75" customHeight="1">
      <c r="N842" s="24"/>
      <c r="O842" s="24"/>
      <c r="P842" s="24"/>
      <c r="Q842" s="24"/>
      <c r="R842" s="24"/>
      <c r="S842" s="24"/>
      <c r="T842" s="24"/>
      <c r="U842" s="24"/>
      <c r="V842" s="24"/>
      <c r="W842" s="24"/>
      <c r="X842" s="24"/>
      <c r="Y842" s="24"/>
      <c r="Z842" s="24"/>
      <c r="AA842" s="24"/>
      <c r="AB842" s="24"/>
    </row>
    <row r="843" spans="14:28" ht="15.75" customHeight="1">
      <c r="N843" s="24"/>
      <c r="O843" s="24"/>
      <c r="P843" s="24"/>
      <c r="Q843" s="24"/>
      <c r="R843" s="24"/>
      <c r="S843" s="24"/>
      <c r="T843" s="24"/>
      <c r="U843" s="24"/>
      <c r="V843" s="24"/>
      <c r="W843" s="24"/>
      <c r="X843" s="24"/>
      <c r="Y843" s="24"/>
      <c r="Z843" s="24"/>
      <c r="AA843" s="24"/>
      <c r="AB843" s="24"/>
    </row>
    <row r="844" spans="14:28" ht="15.75" customHeight="1">
      <c r="N844" s="24"/>
      <c r="O844" s="24"/>
      <c r="P844" s="24"/>
      <c r="Q844" s="24"/>
      <c r="R844" s="24"/>
      <c r="S844" s="24"/>
      <c r="T844" s="24"/>
      <c r="U844" s="24"/>
      <c r="V844" s="24"/>
      <c r="W844" s="24"/>
      <c r="X844" s="24"/>
      <c r="Y844" s="24"/>
      <c r="Z844" s="24"/>
      <c r="AA844" s="24"/>
      <c r="AB844" s="24"/>
    </row>
    <row r="845" spans="14:28" ht="15.75" customHeight="1">
      <c r="N845" s="24"/>
      <c r="O845" s="24"/>
      <c r="P845" s="24"/>
      <c r="Q845" s="24"/>
      <c r="R845" s="24"/>
      <c r="S845" s="24"/>
      <c r="T845" s="24"/>
      <c r="U845" s="24"/>
      <c r="V845" s="24"/>
      <c r="W845" s="24"/>
      <c r="X845" s="24"/>
      <c r="Y845" s="24"/>
      <c r="Z845" s="24"/>
      <c r="AA845" s="24"/>
      <c r="AB845" s="24"/>
    </row>
    <row r="846" spans="14:28" ht="15.75" customHeight="1">
      <c r="N846" s="24"/>
      <c r="O846" s="24"/>
      <c r="P846" s="24"/>
      <c r="Q846" s="24"/>
      <c r="R846" s="24"/>
      <c r="S846" s="24"/>
      <c r="T846" s="24"/>
      <c r="U846" s="24"/>
      <c r="V846" s="24"/>
      <c r="W846" s="24"/>
      <c r="X846" s="24"/>
      <c r="Y846" s="24"/>
      <c r="Z846" s="24"/>
      <c r="AA846" s="24"/>
      <c r="AB846" s="24"/>
    </row>
    <row r="847" spans="14:28" ht="15.75" customHeight="1">
      <c r="N847" s="24"/>
      <c r="O847" s="24"/>
      <c r="P847" s="24"/>
      <c r="Q847" s="24"/>
      <c r="R847" s="24"/>
      <c r="S847" s="24"/>
      <c r="T847" s="24"/>
      <c r="U847" s="24"/>
      <c r="V847" s="24"/>
      <c r="W847" s="24"/>
      <c r="X847" s="24"/>
      <c r="Y847" s="24"/>
      <c r="Z847" s="24"/>
      <c r="AA847" s="24"/>
      <c r="AB847" s="24"/>
    </row>
    <row r="848" spans="14:28" ht="15.75" customHeight="1">
      <c r="N848" s="24"/>
      <c r="O848" s="24"/>
      <c r="P848" s="24"/>
      <c r="Q848" s="24"/>
      <c r="R848" s="24"/>
      <c r="S848" s="24"/>
      <c r="T848" s="24"/>
      <c r="U848" s="24"/>
      <c r="V848" s="24"/>
      <c r="W848" s="24"/>
      <c r="X848" s="24"/>
      <c r="Y848" s="24"/>
      <c r="Z848" s="24"/>
      <c r="AA848" s="24"/>
      <c r="AB848" s="24"/>
    </row>
    <row r="849" spans="14:28" ht="15.75" customHeight="1">
      <c r="N849" s="24"/>
      <c r="O849" s="24"/>
      <c r="P849" s="24"/>
      <c r="Q849" s="24"/>
      <c r="R849" s="24"/>
      <c r="S849" s="24"/>
      <c r="T849" s="24"/>
      <c r="U849" s="24"/>
      <c r="V849" s="24"/>
      <c r="W849" s="24"/>
      <c r="X849" s="24"/>
      <c r="Y849" s="24"/>
      <c r="Z849" s="24"/>
      <c r="AA849" s="24"/>
      <c r="AB849" s="24"/>
    </row>
    <row r="850" spans="14:28" ht="15.75" customHeight="1">
      <c r="N850" s="24"/>
      <c r="O850" s="24"/>
      <c r="P850" s="24"/>
      <c r="Q850" s="24"/>
      <c r="R850" s="24"/>
      <c r="S850" s="24"/>
      <c r="T850" s="24"/>
      <c r="U850" s="24"/>
      <c r="V850" s="24"/>
      <c r="W850" s="24"/>
      <c r="X850" s="24"/>
      <c r="Y850" s="24"/>
      <c r="Z850" s="24"/>
      <c r="AA850" s="24"/>
      <c r="AB850" s="24"/>
    </row>
    <row r="851" spans="14:28" ht="15.75" customHeight="1">
      <c r="N851" s="24"/>
      <c r="O851" s="24"/>
      <c r="P851" s="24"/>
      <c r="Q851" s="24"/>
      <c r="R851" s="24"/>
      <c r="S851" s="24"/>
      <c r="T851" s="24"/>
      <c r="U851" s="24"/>
      <c r="V851" s="24"/>
      <c r="W851" s="24"/>
      <c r="X851" s="24"/>
      <c r="Y851" s="24"/>
      <c r="Z851" s="24"/>
      <c r="AA851" s="24"/>
      <c r="AB851" s="24"/>
    </row>
    <row r="852" spans="14:28" ht="15.75" customHeight="1">
      <c r="N852" s="24"/>
      <c r="O852" s="24"/>
      <c r="P852" s="24"/>
      <c r="Q852" s="24"/>
      <c r="R852" s="24"/>
      <c r="S852" s="24"/>
      <c r="T852" s="24"/>
      <c r="U852" s="24"/>
      <c r="V852" s="24"/>
      <c r="W852" s="24"/>
      <c r="X852" s="24"/>
      <c r="Y852" s="24"/>
      <c r="Z852" s="24"/>
      <c r="AA852" s="24"/>
      <c r="AB852" s="24"/>
    </row>
    <row r="853" spans="14:28" ht="15.75" customHeight="1">
      <c r="N853" s="24"/>
      <c r="O853" s="24"/>
      <c r="P853" s="24"/>
      <c r="Q853" s="24"/>
      <c r="R853" s="24"/>
      <c r="S853" s="24"/>
      <c r="T853" s="24"/>
      <c r="U853" s="24"/>
      <c r="V853" s="24"/>
      <c r="W853" s="24"/>
      <c r="X853" s="24"/>
      <c r="Y853" s="24"/>
      <c r="Z853" s="24"/>
      <c r="AA853" s="24"/>
      <c r="AB853" s="24"/>
    </row>
    <row r="854" spans="14:28" ht="15.75" customHeight="1">
      <c r="N854" s="24"/>
      <c r="O854" s="24"/>
      <c r="P854" s="24"/>
      <c r="Q854" s="24"/>
      <c r="R854" s="24"/>
      <c r="S854" s="24"/>
      <c r="T854" s="24"/>
      <c r="U854" s="24"/>
      <c r="V854" s="24"/>
      <c r="W854" s="24"/>
      <c r="X854" s="24"/>
      <c r="Y854" s="24"/>
      <c r="Z854" s="24"/>
      <c r="AA854" s="24"/>
      <c r="AB854" s="24"/>
    </row>
    <row r="855" spans="14:28" ht="15.75" customHeight="1">
      <c r="N855" s="24"/>
      <c r="O855" s="24"/>
      <c r="P855" s="24"/>
      <c r="Q855" s="24"/>
      <c r="R855" s="24"/>
      <c r="S855" s="24"/>
      <c r="T855" s="24"/>
      <c r="U855" s="24"/>
      <c r="V855" s="24"/>
      <c r="W855" s="24"/>
      <c r="X855" s="24"/>
      <c r="Y855" s="24"/>
      <c r="Z855" s="24"/>
      <c r="AA855" s="24"/>
      <c r="AB855" s="24"/>
    </row>
    <row r="856" spans="14:28" ht="15.75" customHeight="1">
      <c r="N856" s="24"/>
      <c r="O856" s="24"/>
      <c r="P856" s="24"/>
      <c r="Q856" s="24"/>
      <c r="R856" s="24"/>
      <c r="S856" s="24"/>
      <c r="T856" s="24"/>
      <c r="U856" s="24"/>
      <c r="V856" s="24"/>
      <c r="W856" s="24"/>
      <c r="X856" s="24"/>
      <c r="Y856" s="24"/>
      <c r="Z856" s="24"/>
      <c r="AA856" s="24"/>
      <c r="AB856" s="24"/>
    </row>
    <row r="857" spans="14:28" ht="15.75" customHeight="1">
      <c r="N857" s="24"/>
      <c r="O857" s="24"/>
      <c r="P857" s="24"/>
      <c r="Q857" s="24"/>
      <c r="R857" s="24"/>
      <c r="S857" s="24"/>
      <c r="T857" s="24"/>
      <c r="U857" s="24"/>
      <c r="V857" s="24"/>
      <c r="W857" s="24"/>
      <c r="X857" s="24"/>
      <c r="Y857" s="24"/>
      <c r="Z857" s="24"/>
      <c r="AA857" s="24"/>
      <c r="AB857" s="24"/>
    </row>
    <row r="858" spans="14:28" ht="15.75" customHeight="1">
      <c r="N858" s="24"/>
      <c r="O858" s="24"/>
      <c r="P858" s="24"/>
      <c r="Q858" s="24"/>
      <c r="R858" s="24"/>
      <c r="S858" s="24"/>
      <c r="T858" s="24"/>
      <c r="U858" s="24"/>
      <c r="V858" s="24"/>
      <c r="W858" s="24"/>
      <c r="X858" s="24"/>
      <c r="Y858" s="24"/>
      <c r="Z858" s="24"/>
      <c r="AA858" s="24"/>
      <c r="AB858" s="24"/>
    </row>
    <row r="859" spans="14:28" ht="15.75" customHeight="1">
      <c r="N859" s="24"/>
      <c r="O859" s="24"/>
      <c r="P859" s="24"/>
      <c r="Q859" s="24"/>
      <c r="R859" s="24"/>
      <c r="S859" s="24"/>
      <c r="T859" s="24"/>
      <c r="U859" s="24"/>
      <c r="V859" s="24"/>
      <c r="W859" s="24"/>
      <c r="X859" s="24"/>
      <c r="Y859" s="24"/>
      <c r="Z859" s="24"/>
      <c r="AA859" s="24"/>
      <c r="AB859" s="24"/>
    </row>
    <row r="860" spans="14:28" ht="15.75" customHeight="1">
      <c r="N860" s="24"/>
      <c r="O860" s="24"/>
      <c r="P860" s="24"/>
      <c r="Q860" s="24"/>
      <c r="R860" s="24"/>
      <c r="S860" s="24"/>
      <c r="T860" s="24"/>
      <c r="U860" s="24"/>
      <c r="V860" s="24"/>
      <c r="W860" s="24"/>
      <c r="X860" s="24"/>
      <c r="Y860" s="24"/>
      <c r="Z860" s="24"/>
      <c r="AA860" s="24"/>
      <c r="AB860" s="24"/>
    </row>
    <row r="861" spans="14:28" ht="15.75" customHeight="1">
      <c r="N861" s="24"/>
      <c r="O861" s="24"/>
      <c r="P861" s="24"/>
      <c r="Q861" s="24"/>
      <c r="R861" s="24"/>
      <c r="S861" s="24"/>
      <c r="T861" s="24"/>
      <c r="U861" s="24"/>
      <c r="V861" s="24"/>
      <c r="W861" s="24"/>
      <c r="X861" s="24"/>
      <c r="Y861" s="24"/>
      <c r="Z861" s="24"/>
      <c r="AA861" s="24"/>
      <c r="AB861" s="24"/>
    </row>
    <row r="862" spans="14:28" ht="15.75" customHeight="1">
      <c r="N862" s="24"/>
      <c r="O862" s="24"/>
      <c r="P862" s="24"/>
      <c r="Q862" s="24"/>
      <c r="R862" s="24"/>
      <c r="S862" s="24"/>
      <c r="T862" s="24"/>
      <c r="U862" s="24"/>
      <c r="V862" s="24"/>
      <c r="W862" s="24"/>
      <c r="X862" s="24"/>
      <c r="Y862" s="24"/>
      <c r="Z862" s="24"/>
      <c r="AA862" s="24"/>
      <c r="AB862" s="24"/>
    </row>
    <row r="863" spans="14:28" ht="15.75" customHeight="1">
      <c r="N863" s="24"/>
      <c r="O863" s="24"/>
      <c r="P863" s="24"/>
      <c r="Q863" s="24"/>
      <c r="R863" s="24"/>
      <c r="S863" s="24"/>
      <c r="T863" s="24"/>
      <c r="U863" s="24"/>
      <c r="V863" s="24"/>
      <c r="W863" s="24"/>
      <c r="X863" s="24"/>
      <c r="Y863" s="24"/>
      <c r="Z863" s="24"/>
      <c r="AA863" s="24"/>
      <c r="AB863" s="24"/>
    </row>
    <row r="864" spans="14:28" ht="15.75" customHeight="1">
      <c r="N864" s="24"/>
      <c r="O864" s="24"/>
      <c r="P864" s="24"/>
      <c r="Q864" s="24"/>
      <c r="R864" s="24"/>
      <c r="S864" s="24"/>
      <c r="T864" s="24"/>
      <c r="U864" s="24"/>
      <c r="V864" s="24"/>
      <c r="W864" s="24"/>
      <c r="X864" s="24"/>
      <c r="Y864" s="24"/>
      <c r="Z864" s="24"/>
      <c r="AA864" s="24"/>
      <c r="AB864" s="24"/>
    </row>
    <row r="865" spans="14:28" ht="15.75" customHeight="1">
      <c r="N865" s="24"/>
      <c r="O865" s="24"/>
      <c r="P865" s="24"/>
      <c r="Q865" s="24"/>
      <c r="R865" s="24"/>
      <c r="S865" s="24"/>
      <c r="T865" s="24"/>
      <c r="U865" s="24"/>
      <c r="V865" s="24"/>
      <c r="W865" s="24"/>
      <c r="X865" s="24"/>
      <c r="Y865" s="24"/>
      <c r="Z865" s="24"/>
      <c r="AA865" s="24"/>
      <c r="AB865" s="24"/>
    </row>
    <row r="866" spans="14:28" ht="15.75" customHeight="1">
      <c r="N866" s="24"/>
      <c r="O866" s="24"/>
      <c r="P866" s="24"/>
      <c r="Q866" s="24"/>
      <c r="R866" s="24"/>
      <c r="S866" s="24"/>
      <c r="T866" s="24"/>
      <c r="U866" s="24"/>
      <c r="V866" s="24"/>
      <c r="W866" s="24"/>
      <c r="X866" s="24"/>
      <c r="Y866" s="24"/>
      <c r="Z866" s="24"/>
      <c r="AA866" s="24"/>
      <c r="AB866" s="24"/>
    </row>
    <row r="867" spans="14:28" ht="15.75" customHeight="1">
      <c r="N867" s="24"/>
      <c r="O867" s="24"/>
      <c r="P867" s="24"/>
      <c r="Q867" s="24"/>
      <c r="R867" s="24"/>
      <c r="S867" s="24"/>
      <c r="T867" s="24"/>
      <c r="U867" s="24"/>
      <c r="V867" s="24"/>
      <c r="W867" s="24"/>
      <c r="X867" s="24"/>
      <c r="Y867" s="24"/>
      <c r="Z867" s="24"/>
      <c r="AA867" s="24"/>
      <c r="AB867" s="24"/>
    </row>
    <row r="868" spans="14:28" ht="15.75" customHeight="1">
      <c r="N868" s="24"/>
      <c r="O868" s="24"/>
      <c r="P868" s="24"/>
      <c r="Q868" s="24"/>
      <c r="R868" s="24"/>
      <c r="S868" s="24"/>
      <c r="T868" s="24"/>
      <c r="U868" s="24"/>
      <c r="V868" s="24"/>
      <c r="W868" s="24"/>
      <c r="X868" s="24"/>
      <c r="Y868" s="24"/>
      <c r="Z868" s="24"/>
      <c r="AA868" s="24"/>
      <c r="AB868" s="24"/>
    </row>
    <row r="869" spans="14:28" ht="15.75" customHeight="1">
      <c r="N869" s="24"/>
      <c r="O869" s="24"/>
      <c r="P869" s="24"/>
      <c r="Q869" s="24"/>
      <c r="R869" s="24"/>
      <c r="S869" s="24"/>
      <c r="T869" s="24"/>
      <c r="U869" s="24"/>
      <c r="V869" s="24"/>
      <c r="W869" s="24"/>
      <c r="X869" s="24"/>
      <c r="Y869" s="24"/>
      <c r="Z869" s="24"/>
      <c r="AA869" s="24"/>
      <c r="AB869" s="24"/>
    </row>
    <row r="870" spans="14:28" ht="15.75" customHeight="1">
      <c r="N870" s="24"/>
      <c r="O870" s="24"/>
      <c r="P870" s="24"/>
      <c r="Q870" s="24"/>
      <c r="R870" s="24"/>
      <c r="S870" s="24"/>
      <c r="T870" s="24"/>
      <c r="U870" s="24"/>
      <c r="V870" s="24"/>
      <c r="W870" s="24"/>
      <c r="X870" s="24"/>
      <c r="Y870" s="24"/>
      <c r="Z870" s="24"/>
      <c r="AA870" s="24"/>
      <c r="AB870" s="24"/>
    </row>
    <row r="871" spans="14:28" ht="15.75" customHeight="1">
      <c r="N871" s="24"/>
      <c r="O871" s="24"/>
      <c r="P871" s="24"/>
      <c r="Q871" s="24"/>
      <c r="R871" s="24"/>
      <c r="S871" s="24"/>
      <c r="T871" s="24"/>
      <c r="U871" s="24"/>
      <c r="V871" s="24"/>
      <c r="W871" s="24"/>
      <c r="X871" s="24"/>
      <c r="Y871" s="24"/>
      <c r="Z871" s="24"/>
      <c r="AA871" s="24"/>
      <c r="AB871" s="24"/>
    </row>
    <row r="872" spans="14:28" ht="15.75" customHeight="1">
      <c r="N872" s="24"/>
      <c r="O872" s="24"/>
      <c r="P872" s="24"/>
      <c r="Q872" s="24"/>
      <c r="R872" s="24"/>
      <c r="S872" s="24"/>
      <c r="T872" s="24"/>
      <c r="U872" s="24"/>
      <c r="V872" s="24"/>
      <c r="W872" s="24"/>
      <c r="X872" s="24"/>
      <c r="Y872" s="24"/>
      <c r="Z872" s="24"/>
      <c r="AA872" s="24"/>
      <c r="AB872" s="24"/>
    </row>
    <row r="873" spans="14:28" ht="15.75" customHeight="1">
      <c r="N873" s="24"/>
      <c r="O873" s="24"/>
      <c r="P873" s="24"/>
      <c r="Q873" s="24"/>
      <c r="R873" s="24"/>
      <c r="S873" s="24"/>
      <c r="T873" s="24"/>
      <c r="U873" s="24"/>
      <c r="V873" s="24"/>
      <c r="W873" s="24"/>
      <c r="X873" s="24"/>
      <c r="Y873" s="24"/>
      <c r="Z873" s="24"/>
      <c r="AA873" s="24"/>
      <c r="AB873" s="24"/>
    </row>
    <row r="874" spans="14:28" ht="15.75" customHeight="1">
      <c r="N874" s="24"/>
      <c r="O874" s="24"/>
      <c r="P874" s="24"/>
      <c r="Q874" s="24"/>
      <c r="R874" s="24"/>
      <c r="S874" s="24"/>
      <c r="T874" s="24"/>
      <c r="U874" s="24"/>
      <c r="V874" s="24"/>
      <c r="W874" s="24"/>
      <c r="X874" s="24"/>
      <c r="Y874" s="24"/>
      <c r="Z874" s="24"/>
      <c r="AA874" s="24"/>
      <c r="AB874" s="24"/>
    </row>
    <row r="875" spans="14:28" ht="15.75" customHeight="1">
      <c r="N875" s="24"/>
      <c r="O875" s="24"/>
      <c r="P875" s="24"/>
      <c r="Q875" s="24"/>
      <c r="R875" s="24"/>
      <c r="S875" s="24"/>
      <c r="T875" s="24"/>
      <c r="U875" s="24"/>
      <c r="V875" s="24"/>
      <c r="W875" s="24"/>
      <c r="X875" s="24"/>
      <c r="Y875" s="24"/>
      <c r="Z875" s="24"/>
      <c r="AA875" s="24"/>
      <c r="AB875" s="24"/>
    </row>
    <row r="876" spans="14:28" ht="15.75" customHeight="1">
      <c r="N876" s="24"/>
      <c r="O876" s="24"/>
      <c r="P876" s="24"/>
      <c r="Q876" s="24"/>
      <c r="R876" s="24"/>
      <c r="S876" s="24"/>
      <c r="T876" s="24"/>
      <c r="U876" s="24"/>
      <c r="V876" s="24"/>
      <c r="W876" s="24"/>
      <c r="X876" s="24"/>
      <c r="Y876" s="24"/>
      <c r="Z876" s="24"/>
      <c r="AA876" s="24"/>
      <c r="AB876" s="24"/>
    </row>
    <row r="877" spans="14:28" ht="15.75" customHeight="1">
      <c r="N877" s="24"/>
      <c r="O877" s="24"/>
      <c r="P877" s="24"/>
      <c r="Q877" s="24"/>
      <c r="R877" s="24"/>
      <c r="S877" s="24"/>
      <c r="T877" s="24"/>
      <c r="U877" s="24"/>
      <c r="V877" s="24"/>
      <c r="W877" s="24"/>
      <c r="X877" s="24"/>
      <c r="Y877" s="24"/>
      <c r="Z877" s="24"/>
      <c r="AA877" s="24"/>
      <c r="AB877" s="24"/>
    </row>
    <row r="878" spans="14:28" ht="15.75" customHeight="1">
      <c r="N878" s="24"/>
      <c r="O878" s="24"/>
      <c r="P878" s="24"/>
      <c r="Q878" s="24"/>
      <c r="R878" s="24"/>
      <c r="S878" s="24"/>
      <c r="T878" s="24"/>
      <c r="U878" s="24"/>
      <c r="V878" s="24"/>
      <c r="W878" s="24"/>
      <c r="X878" s="24"/>
      <c r="Y878" s="24"/>
      <c r="Z878" s="24"/>
      <c r="AA878" s="24"/>
      <c r="AB878" s="24"/>
    </row>
    <row r="879" spans="14:28" ht="15.75" customHeight="1">
      <c r="N879" s="24"/>
      <c r="O879" s="24"/>
      <c r="P879" s="24"/>
      <c r="Q879" s="24"/>
      <c r="R879" s="24"/>
      <c r="S879" s="24"/>
      <c r="T879" s="24"/>
      <c r="U879" s="24"/>
      <c r="V879" s="24"/>
      <c r="W879" s="24"/>
      <c r="X879" s="24"/>
      <c r="Y879" s="24"/>
      <c r="Z879" s="24"/>
      <c r="AA879" s="24"/>
      <c r="AB879" s="24"/>
    </row>
    <row r="880" spans="14:28" ht="15.75" customHeight="1">
      <c r="N880" s="24"/>
      <c r="O880" s="24"/>
      <c r="P880" s="24"/>
      <c r="Q880" s="24"/>
      <c r="R880" s="24"/>
      <c r="S880" s="24"/>
      <c r="T880" s="24"/>
      <c r="U880" s="24"/>
      <c r="V880" s="24"/>
      <c r="W880" s="24"/>
      <c r="X880" s="24"/>
      <c r="Y880" s="24"/>
      <c r="Z880" s="24"/>
      <c r="AA880" s="24"/>
      <c r="AB880" s="24"/>
    </row>
    <row r="881" spans="14:28" ht="15.75" customHeight="1">
      <c r="N881" s="24"/>
      <c r="O881" s="24"/>
      <c r="P881" s="24"/>
      <c r="Q881" s="24"/>
      <c r="R881" s="24"/>
      <c r="S881" s="24"/>
      <c r="T881" s="24"/>
      <c r="U881" s="24"/>
      <c r="V881" s="24"/>
      <c r="W881" s="24"/>
      <c r="X881" s="24"/>
      <c r="Y881" s="24"/>
      <c r="Z881" s="24"/>
      <c r="AA881" s="24"/>
      <c r="AB881" s="24"/>
    </row>
    <row r="882" spans="14:28" ht="15.75" customHeight="1">
      <c r="N882" s="24"/>
      <c r="O882" s="24"/>
      <c r="P882" s="24"/>
      <c r="Q882" s="24"/>
      <c r="R882" s="24"/>
      <c r="S882" s="24"/>
      <c r="T882" s="24"/>
      <c r="U882" s="24"/>
      <c r="V882" s="24"/>
      <c r="W882" s="24"/>
      <c r="X882" s="24"/>
      <c r="Y882" s="24"/>
      <c r="Z882" s="24"/>
      <c r="AA882" s="24"/>
      <c r="AB882" s="24"/>
    </row>
    <row r="883" spans="14:28" ht="15.75" customHeight="1">
      <c r="N883" s="24"/>
      <c r="O883" s="24"/>
      <c r="P883" s="24"/>
      <c r="Q883" s="24"/>
      <c r="R883" s="24"/>
      <c r="S883" s="24"/>
      <c r="T883" s="24"/>
      <c r="U883" s="24"/>
      <c r="V883" s="24"/>
      <c r="W883" s="24"/>
      <c r="X883" s="24"/>
      <c r="Y883" s="24"/>
      <c r="Z883" s="24"/>
      <c r="AA883" s="24"/>
      <c r="AB883" s="24"/>
    </row>
    <row r="884" spans="14:28" ht="15.75" customHeight="1">
      <c r="N884" s="24"/>
      <c r="O884" s="24"/>
      <c r="P884" s="24"/>
      <c r="Q884" s="24"/>
      <c r="R884" s="24"/>
      <c r="S884" s="24"/>
      <c r="T884" s="24"/>
      <c r="U884" s="24"/>
      <c r="V884" s="24"/>
      <c r="W884" s="24"/>
      <c r="X884" s="24"/>
      <c r="Y884" s="24"/>
      <c r="Z884" s="24"/>
      <c r="AA884" s="24"/>
      <c r="AB884" s="24"/>
    </row>
    <row r="885" spans="14:28" ht="15.75" customHeight="1">
      <c r="N885" s="24"/>
      <c r="O885" s="24"/>
      <c r="P885" s="24"/>
      <c r="Q885" s="24"/>
      <c r="R885" s="24"/>
      <c r="S885" s="24"/>
      <c r="T885" s="24"/>
      <c r="U885" s="24"/>
      <c r="V885" s="24"/>
      <c r="W885" s="24"/>
      <c r="X885" s="24"/>
      <c r="Y885" s="24"/>
      <c r="Z885" s="24"/>
      <c r="AA885" s="24"/>
      <c r="AB885" s="24"/>
    </row>
    <row r="886" spans="14:28" ht="15.75" customHeight="1">
      <c r="N886" s="24"/>
      <c r="O886" s="24"/>
      <c r="P886" s="24"/>
      <c r="Q886" s="24"/>
      <c r="R886" s="24"/>
      <c r="S886" s="24"/>
      <c r="T886" s="24"/>
      <c r="U886" s="24"/>
      <c r="V886" s="24"/>
      <c r="W886" s="24"/>
      <c r="X886" s="24"/>
      <c r="Y886" s="24"/>
      <c r="Z886" s="24"/>
      <c r="AA886" s="24"/>
      <c r="AB886" s="24"/>
    </row>
    <row r="887" spans="14:28" ht="15.75" customHeight="1">
      <c r="N887" s="24"/>
      <c r="O887" s="24"/>
      <c r="P887" s="24"/>
      <c r="Q887" s="24"/>
      <c r="R887" s="24"/>
      <c r="S887" s="24"/>
      <c r="T887" s="24"/>
      <c r="U887" s="24"/>
      <c r="V887" s="24"/>
      <c r="W887" s="24"/>
      <c r="X887" s="24"/>
      <c r="Y887" s="24"/>
      <c r="Z887" s="24"/>
      <c r="AA887" s="24"/>
      <c r="AB887" s="24"/>
    </row>
    <row r="888" spans="14:28" ht="15.75" customHeight="1">
      <c r="N888" s="24"/>
      <c r="O888" s="24"/>
      <c r="P888" s="24"/>
      <c r="Q888" s="24"/>
      <c r="R888" s="24"/>
      <c r="S888" s="24"/>
      <c r="T888" s="24"/>
      <c r="U888" s="24"/>
      <c r="V888" s="24"/>
      <c r="W888" s="24"/>
      <c r="X888" s="24"/>
      <c r="Y888" s="24"/>
      <c r="Z888" s="24"/>
      <c r="AA888" s="24"/>
      <c r="AB888" s="24"/>
    </row>
    <row r="889" spans="14:28" ht="15.75" customHeight="1">
      <c r="N889" s="24"/>
      <c r="O889" s="24"/>
      <c r="P889" s="24"/>
      <c r="Q889" s="24"/>
      <c r="R889" s="24"/>
      <c r="S889" s="24"/>
      <c r="T889" s="24"/>
      <c r="U889" s="24"/>
      <c r="V889" s="24"/>
      <c r="W889" s="24"/>
      <c r="X889" s="24"/>
      <c r="Y889" s="24"/>
      <c r="Z889" s="24"/>
      <c r="AA889" s="24"/>
      <c r="AB889" s="24"/>
    </row>
    <row r="890" spans="14:28" ht="15.75" customHeight="1">
      <c r="N890" s="24"/>
      <c r="O890" s="24"/>
      <c r="P890" s="24"/>
      <c r="Q890" s="24"/>
      <c r="R890" s="24"/>
      <c r="S890" s="24"/>
      <c r="T890" s="24"/>
      <c r="U890" s="24"/>
      <c r="V890" s="24"/>
      <c r="W890" s="24"/>
      <c r="X890" s="24"/>
      <c r="Y890" s="24"/>
      <c r="Z890" s="24"/>
      <c r="AA890" s="24"/>
      <c r="AB890" s="24"/>
    </row>
    <row r="891" spans="14:28" ht="15.75" customHeight="1">
      <c r="N891" s="24"/>
      <c r="O891" s="24"/>
      <c r="P891" s="24"/>
      <c r="Q891" s="24"/>
      <c r="R891" s="24"/>
      <c r="S891" s="24"/>
      <c r="T891" s="24"/>
      <c r="U891" s="24"/>
      <c r="V891" s="24"/>
      <c r="W891" s="24"/>
      <c r="X891" s="24"/>
      <c r="Y891" s="24"/>
      <c r="Z891" s="24"/>
      <c r="AA891" s="24"/>
      <c r="AB891" s="24"/>
    </row>
    <row r="892" spans="14:28" ht="15.75" customHeight="1">
      <c r="N892" s="24"/>
      <c r="O892" s="24"/>
      <c r="P892" s="24"/>
      <c r="Q892" s="24"/>
      <c r="R892" s="24"/>
      <c r="S892" s="24"/>
      <c r="T892" s="24"/>
      <c r="U892" s="24"/>
      <c r="V892" s="24"/>
      <c r="W892" s="24"/>
      <c r="X892" s="24"/>
      <c r="Y892" s="24"/>
      <c r="Z892" s="24"/>
      <c r="AA892" s="24"/>
      <c r="AB892" s="24"/>
    </row>
    <row r="893" spans="14:28" ht="15.75" customHeight="1">
      <c r="N893" s="24"/>
      <c r="O893" s="24"/>
      <c r="P893" s="24"/>
      <c r="Q893" s="24"/>
      <c r="R893" s="24"/>
      <c r="S893" s="24"/>
      <c r="T893" s="24"/>
      <c r="U893" s="24"/>
      <c r="V893" s="24"/>
      <c r="W893" s="24"/>
      <c r="X893" s="24"/>
      <c r="Y893" s="24"/>
      <c r="Z893" s="24"/>
      <c r="AA893" s="24"/>
      <c r="AB893" s="24"/>
    </row>
    <row r="894" spans="14:28" ht="15.75" customHeight="1">
      <c r="N894" s="24"/>
      <c r="O894" s="24"/>
      <c r="P894" s="24"/>
      <c r="Q894" s="24"/>
      <c r="R894" s="24"/>
      <c r="S894" s="24"/>
      <c r="T894" s="24"/>
      <c r="U894" s="24"/>
      <c r="V894" s="24"/>
      <c r="W894" s="24"/>
      <c r="X894" s="24"/>
      <c r="Y894" s="24"/>
      <c r="Z894" s="24"/>
      <c r="AA894" s="24"/>
      <c r="AB894" s="24"/>
    </row>
    <row r="895" spans="14:28" ht="15.75" customHeight="1">
      <c r="N895" s="24"/>
      <c r="O895" s="24"/>
      <c r="P895" s="24"/>
      <c r="Q895" s="24"/>
      <c r="R895" s="24"/>
      <c r="S895" s="24"/>
      <c r="T895" s="24"/>
      <c r="U895" s="24"/>
      <c r="V895" s="24"/>
      <c r="W895" s="24"/>
      <c r="X895" s="24"/>
      <c r="Y895" s="24"/>
      <c r="Z895" s="24"/>
      <c r="AA895" s="24"/>
      <c r="AB895" s="24"/>
    </row>
    <row r="896" spans="14:28" ht="15.75" customHeight="1">
      <c r="N896" s="24"/>
      <c r="O896" s="24"/>
      <c r="P896" s="24"/>
      <c r="Q896" s="24"/>
      <c r="R896" s="24"/>
      <c r="S896" s="24"/>
      <c r="T896" s="24"/>
      <c r="U896" s="24"/>
      <c r="V896" s="24"/>
      <c r="W896" s="24"/>
      <c r="X896" s="24"/>
      <c r="Y896" s="24"/>
      <c r="Z896" s="24"/>
      <c r="AA896" s="24"/>
      <c r="AB896" s="24"/>
    </row>
    <row r="897" spans="14:28" ht="15.75" customHeight="1">
      <c r="N897" s="24"/>
      <c r="O897" s="24"/>
      <c r="P897" s="24"/>
      <c r="Q897" s="24"/>
      <c r="R897" s="24"/>
      <c r="S897" s="24"/>
      <c r="T897" s="24"/>
      <c r="U897" s="24"/>
      <c r="V897" s="24"/>
      <c r="W897" s="24"/>
      <c r="X897" s="24"/>
      <c r="Y897" s="24"/>
      <c r="Z897" s="24"/>
      <c r="AA897" s="24"/>
      <c r="AB897" s="24"/>
    </row>
    <row r="898" spans="14:28" ht="15.75" customHeight="1">
      <c r="N898" s="24"/>
      <c r="O898" s="24"/>
      <c r="P898" s="24"/>
      <c r="Q898" s="24"/>
      <c r="R898" s="24"/>
      <c r="S898" s="24"/>
      <c r="T898" s="24"/>
      <c r="U898" s="24"/>
      <c r="V898" s="24"/>
      <c r="W898" s="24"/>
      <c r="X898" s="24"/>
      <c r="Y898" s="24"/>
      <c r="Z898" s="24"/>
      <c r="AA898" s="24"/>
      <c r="AB898" s="24"/>
    </row>
    <row r="899" spans="14:28" ht="15.75" customHeight="1">
      <c r="N899" s="24"/>
      <c r="O899" s="24"/>
      <c r="P899" s="24"/>
      <c r="Q899" s="24"/>
      <c r="R899" s="24"/>
      <c r="S899" s="24"/>
      <c r="T899" s="24"/>
      <c r="U899" s="24"/>
      <c r="V899" s="24"/>
      <c r="W899" s="24"/>
      <c r="X899" s="24"/>
      <c r="Y899" s="24"/>
      <c r="Z899" s="24"/>
      <c r="AA899" s="24"/>
      <c r="AB899" s="24"/>
    </row>
    <row r="900" spans="14:28" ht="15.75" customHeight="1">
      <c r="N900" s="24"/>
      <c r="O900" s="24"/>
      <c r="P900" s="24"/>
      <c r="Q900" s="24"/>
      <c r="R900" s="24"/>
      <c r="S900" s="24"/>
      <c r="T900" s="24"/>
      <c r="U900" s="24"/>
      <c r="V900" s="24"/>
      <c r="W900" s="24"/>
      <c r="X900" s="24"/>
      <c r="Y900" s="24"/>
      <c r="Z900" s="24"/>
      <c r="AA900" s="24"/>
      <c r="AB900" s="24"/>
    </row>
    <row r="901" spans="14:28" ht="15.75" customHeight="1">
      <c r="N901" s="24"/>
      <c r="O901" s="24"/>
      <c r="P901" s="24"/>
      <c r="Q901" s="24"/>
      <c r="R901" s="24"/>
      <c r="S901" s="24"/>
      <c r="T901" s="24"/>
      <c r="U901" s="24"/>
      <c r="V901" s="24"/>
      <c r="W901" s="24"/>
      <c r="X901" s="24"/>
      <c r="Y901" s="24"/>
      <c r="Z901" s="24"/>
      <c r="AA901" s="24"/>
      <c r="AB901" s="24"/>
    </row>
    <row r="902" spans="14:28" ht="15.75" customHeight="1">
      <c r="N902" s="24"/>
      <c r="O902" s="24"/>
      <c r="P902" s="24"/>
      <c r="Q902" s="24"/>
      <c r="R902" s="24"/>
      <c r="S902" s="24"/>
      <c r="T902" s="24"/>
      <c r="U902" s="24"/>
      <c r="V902" s="24"/>
      <c r="W902" s="24"/>
      <c r="X902" s="24"/>
      <c r="Y902" s="24"/>
      <c r="Z902" s="24"/>
      <c r="AA902" s="24"/>
      <c r="AB902" s="24"/>
    </row>
    <row r="903" spans="14:28" ht="15.75" customHeight="1">
      <c r="N903" s="24"/>
      <c r="O903" s="24"/>
      <c r="P903" s="24"/>
      <c r="Q903" s="24"/>
      <c r="R903" s="24"/>
      <c r="S903" s="24"/>
      <c r="T903" s="24"/>
      <c r="U903" s="24"/>
      <c r="V903" s="24"/>
      <c r="W903" s="24"/>
      <c r="X903" s="24"/>
      <c r="Y903" s="24"/>
      <c r="Z903" s="24"/>
      <c r="AA903" s="24"/>
      <c r="AB903" s="24"/>
    </row>
    <row r="904" spans="14:28" ht="15.75" customHeight="1">
      <c r="N904" s="24"/>
      <c r="O904" s="24"/>
      <c r="P904" s="24"/>
      <c r="Q904" s="24"/>
      <c r="R904" s="24"/>
      <c r="S904" s="24"/>
      <c r="T904" s="24"/>
      <c r="U904" s="24"/>
      <c r="V904" s="24"/>
      <c r="W904" s="24"/>
      <c r="X904" s="24"/>
      <c r="Y904" s="24"/>
      <c r="Z904" s="24"/>
      <c r="AA904" s="24"/>
      <c r="AB904" s="24"/>
    </row>
    <row r="905" spans="14:28" ht="15.75" customHeight="1">
      <c r="N905" s="24"/>
      <c r="O905" s="24"/>
      <c r="P905" s="24"/>
      <c r="Q905" s="24"/>
      <c r="R905" s="24"/>
      <c r="S905" s="24"/>
      <c r="T905" s="24"/>
      <c r="U905" s="24"/>
      <c r="V905" s="24"/>
      <c r="W905" s="24"/>
      <c r="X905" s="24"/>
      <c r="Y905" s="24"/>
      <c r="Z905" s="24"/>
      <c r="AA905" s="24"/>
      <c r="AB905" s="24"/>
    </row>
    <row r="906" spans="14:28" ht="15.75" customHeight="1">
      <c r="N906" s="24"/>
      <c r="O906" s="24"/>
      <c r="P906" s="24"/>
      <c r="Q906" s="24"/>
      <c r="R906" s="24"/>
      <c r="S906" s="24"/>
      <c r="T906" s="24"/>
      <c r="U906" s="24"/>
      <c r="V906" s="24"/>
      <c r="W906" s="24"/>
      <c r="X906" s="24"/>
      <c r="Y906" s="24"/>
      <c r="Z906" s="24"/>
      <c r="AA906" s="24"/>
      <c r="AB906" s="24"/>
    </row>
    <row r="907" spans="14:28" ht="15.75" customHeight="1">
      <c r="N907" s="24"/>
      <c r="O907" s="24"/>
      <c r="P907" s="24"/>
      <c r="Q907" s="24"/>
      <c r="R907" s="24"/>
      <c r="S907" s="24"/>
      <c r="T907" s="24"/>
      <c r="U907" s="24"/>
      <c r="V907" s="24"/>
      <c r="W907" s="24"/>
      <c r="X907" s="24"/>
      <c r="Y907" s="24"/>
      <c r="Z907" s="24"/>
      <c r="AA907" s="24"/>
      <c r="AB907" s="24"/>
    </row>
    <row r="908" spans="14:28" ht="15.75" customHeight="1">
      <c r="N908" s="24"/>
      <c r="O908" s="24"/>
      <c r="P908" s="24"/>
      <c r="Q908" s="24"/>
      <c r="R908" s="24"/>
      <c r="S908" s="24"/>
      <c r="T908" s="24"/>
      <c r="U908" s="24"/>
      <c r="V908" s="24"/>
      <c r="W908" s="24"/>
      <c r="X908" s="24"/>
      <c r="Y908" s="24"/>
      <c r="Z908" s="24"/>
      <c r="AA908" s="24"/>
      <c r="AB908" s="24"/>
    </row>
    <row r="909" spans="14:28" ht="15.75" customHeight="1">
      <c r="N909" s="24"/>
      <c r="O909" s="24"/>
      <c r="P909" s="24"/>
      <c r="Q909" s="24"/>
      <c r="R909" s="24"/>
      <c r="S909" s="24"/>
      <c r="T909" s="24"/>
      <c r="U909" s="24"/>
      <c r="V909" s="24"/>
      <c r="W909" s="24"/>
      <c r="X909" s="24"/>
      <c r="Y909" s="24"/>
      <c r="Z909" s="24"/>
      <c r="AA909" s="24"/>
      <c r="AB909" s="24"/>
    </row>
    <row r="910" spans="14:28" ht="15.75" customHeight="1">
      <c r="N910" s="24"/>
      <c r="O910" s="24"/>
      <c r="P910" s="24"/>
      <c r="Q910" s="24"/>
      <c r="R910" s="24"/>
      <c r="S910" s="24"/>
      <c r="T910" s="24"/>
      <c r="U910" s="24"/>
      <c r="V910" s="24"/>
      <c r="W910" s="24"/>
      <c r="X910" s="24"/>
      <c r="Y910" s="24"/>
      <c r="Z910" s="24"/>
      <c r="AA910" s="24"/>
      <c r="AB910" s="24"/>
    </row>
    <row r="911" spans="14:28" ht="15.75" customHeight="1">
      <c r="N911" s="24"/>
      <c r="O911" s="24"/>
      <c r="P911" s="24"/>
      <c r="Q911" s="24"/>
      <c r="R911" s="24"/>
      <c r="S911" s="24"/>
      <c r="T911" s="24"/>
      <c r="U911" s="24"/>
      <c r="V911" s="24"/>
      <c r="W911" s="24"/>
      <c r="X911" s="24"/>
      <c r="Y911" s="24"/>
      <c r="Z911" s="24"/>
      <c r="AA911" s="24"/>
      <c r="AB911" s="24"/>
    </row>
    <row r="912" spans="14:28" ht="15.75" customHeight="1">
      <c r="N912" s="24"/>
      <c r="O912" s="24"/>
      <c r="P912" s="24"/>
      <c r="Q912" s="24"/>
      <c r="R912" s="24"/>
      <c r="S912" s="24"/>
      <c r="T912" s="24"/>
      <c r="U912" s="24"/>
      <c r="V912" s="24"/>
      <c r="W912" s="24"/>
      <c r="X912" s="24"/>
      <c r="Y912" s="24"/>
      <c r="Z912" s="24"/>
      <c r="AA912" s="24"/>
      <c r="AB912" s="24"/>
    </row>
    <row r="913" spans="14:28" ht="15.75" customHeight="1">
      <c r="N913" s="24"/>
      <c r="O913" s="24"/>
      <c r="P913" s="24"/>
      <c r="Q913" s="24"/>
      <c r="R913" s="24"/>
      <c r="S913" s="24"/>
      <c r="T913" s="24"/>
      <c r="U913" s="24"/>
      <c r="V913" s="24"/>
      <c r="W913" s="24"/>
      <c r="X913" s="24"/>
      <c r="Y913" s="24"/>
      <c r="Z913" s="24"/>
      <c r="AA913" s="24"/>
      <c r="AB913" s="24"/>
    </row>
    <row r="914" spans="14:28" ht="15.75" customHeight="1">
      <c r="N914" s="24"/>
      <c r="O914" s="24"/>
      <c r="P914" s="24"/>
      <c r="Q914" s="24"/>
      <c r="R914" s="24"/>
      <c r="S914" s="24"/>
      <c r="T914" s="24"/>
      <c r="U914" s="24"/>
      <c r="V914" s="24"/>
      <c r="W914" s="24"/>
      <c r="X914" s="24"/>
      <c r="Y914" s="24"/>
      <c r="Z914" s="24"/>
      <c r="AA914" s="24"/>
      <c r="AB914" s="24"/>
    </row>
    <row r="915" spans="14:28" ht="15.75" customHeight="1">
      <c r="N915" s="24"/>
      <c r="O915" s="24"/>
      <c r="P915" s="24"/>
      <c r="Q915" s="24"/>
      <c r="R915" s="24"/>
      <c r="S915" s="24"/>
      <c r="T915" s="24"/>
      <c r="U915" s="24"/>
      <c r="V915" s="24"/>
      <c r="W915" s="24"/>
      <c r="X915" s="24"/>
      <c r="Y915" s="24"/>
      <c r="Z915" s="24"/>
      <c r="AA915" s="24"/>
      <c r="AB915" s="24"/>
    </row>
    <row r="916" spans="14:28" ht="15.75" customHeight="1">
      <c r="N916" s="24"/>
      <c r="O916" s="24"/>
      <c r="P916" s="24"/>
      <c r="Q916" s="24"/>
      <c r="R916" s="24"/>
      <c r="S916" s="24"/>
      <c r="T916" s="24"/>
      <c r="U916" s="24"/>
      <c r="V916" s="24"/>
      <c r="W916" s="24"/>
      <c r="X916" s="24"/>
      <c r="Y916" s="24"/>
      <c r="Z916" s="24"/>
      <c r="AA916" s="24"/>
      <c r="AB916" s="24"/>
    </row>
    <row r="917" spans="14:28" ht="15.75" customHeight="1">
      <c r="N917" s="24"/>
      <c r="O917" s="24"/>
      <c r="P917" s="24"/>
      <c r="Q917" s="24"/>
      <c r="R917" s="24"/>
      <c r="S917" s="24"/>
      <c r="T917" s="24"/>
      <c r="U917" s="24"/>
      <c r="V917" s="24"/>
      <c r="W917" s="24"/>
      <c r="X917" s="24"/>
      <c r="Y917" s="24"/>
      <c r="Z917" s="24"/>
      <c r="AA917" s="24"/>
      <c r="AB917" s="24"/>
    </row>
    <row r="918" spans="14:28" ht="15.75" customHeight="1">
      <c r="N918" s="24"/>
      <c r="O918" s="24"/>
      <c r="P918" s="24"/>
      <c r="Q918" s="24"/>
      <c r="R918" s="24"/>
      <c r="S918" s="24"/>
      <c r="T918" s="24"/>
      <c r="U918" s="24"/>
      <c r="V918" s="24"/>
      <c r="W918" s="24"/>
      <c r="X918" s="24"/>
      <c r="Y918" s="24"/>
      <c r="Z918" s="24"/>
      <c r="AA918" s="24"/>
      <c r="AB918" s="24"/>
    </row>
    <row r="919" spans="14:28" ht="15.75" customHeight="1">
      <c r="N919" s="24"/>
      <c r="O919" s="24"/>
      <c r="P919" s="24"/>
      <c r="Q919" s="24"/>
      <c r="R919" s="24"/>
      <c r="S919" s="24"/>
      <c r="T919" s="24"/>
      <c r="U919" s="24"/>
      <c r="V919" s="24"/>
      <c r="W919" s="24"/>
      <c r="X919" s="24"/>
      <c r="Y919" s="24"/>
      <c r="Z919" s="24"/>
      <c r="AA919" s="24"/>
      <c r="AB919" s="24"/>
    </row>
    <row r="920" spans="14:28" ht="15.75" customHeight="1">
      <c r="N920" s="24"/>
      <c r="O920" s="24"/>
      <c r="P920" s="24"/>
      <c r="Q920" s="24"/>
      <c r="R920" s="24"/>
      <c r="S920" s="24"/>
      <c r="T920" s="24"/>
      <c r="U920" s="24"/>
      <c r="V920" s="24"/>
      <c r="W920" s="24"/>
      <c r="X920" s="24"/>
      <c r="Y920" s="24"/>
      <c r="Z920" s="24"/>
      <c r="AA920" s="24"/>
      <c r="AB920" s="24"/>
    </row>
    <row r="921" spans="14:28" ht="15.75" customHeight="1">
      <c r="N921" s="24"/>
      <c r="O921" s="24"/>
      <c r="P921" s="24"/>
      <c r="Q921" s="24"/>
      <c r="R921" s="24"/>
      <c r="S921" s="24"/>
      <c r="T921" s="24"/>
      <c r="U921" s="24"/>
      <c r="V921" s="24"/>
      <c r="W921" s="24"/>
      <c r="X921" s="24"/>
      <c r="Y921" s="24"/>
      <c r="Z921" s="24"/>
      <c r="AA921" s="24"/>
      <c r="AB921" s="24"/>
    </row>
    <row r="922" spans="14:28" ht="15.75" customHeight="1">
      <c r="N922" s="24"/>
      <c r="O922" s="24"/>
      <c r="P922" s="24"/>
      <c r="Q922" s="24"/>
      <c r="R922" s="24"/>
      <c r="S922" s="24"/>
      <c r="T922" s="24"/>
      <c r="U922" s="24"/>
      <c r="V922" s="24"/>
      <c r="W922" s="24"/>
      <c r="X922" s="24"/>
      <c r="Y922" s="24"/>
      <c r="Z922" s="24"/>
      <c r="AA922" s="24"/>
      <c r="AB922" s="24"/>
    </row>
    <row r="923" spans="14:28" ht="15.75" customHeight="1">
      <c r="N923" s="24"/>
      <c r="O923" s="24"/>
      <c r="P923" s="24"/>
      <c r="Q923" s="24"/>
      <c r="R923" s="24"/>
      <c r="S923" s="24"/>
      <c r="T923" s="24"/>
      <c r="U923" s="24"/>
      <c r="V923" s="24"/>
      <c r="W923" s="24"/>
      <c r="X923" s="24"/>
      <c r="Y923" s="24"/>
      <c r="Z923" s="24"/>
      <c r="AA923" s="24"/>
      <c r="AB923" s="24"/>
    </row>
    <row r="924" spans="14:28" ht="15.75" customHeight="1">
      <c r="N924" s="24"/>
      <c r="O924" s="24"/>
      <c r="P924" s="24"/>
      <c r="Q924" s="24"/>
      <c r="R924" s="24"/>
      <c r="S924" s="24"/>
      <c r="T924" s="24"/>
      <c r="U924" s="24"/>
      <c r="V924" s="24"/>
      <c r="W924" s="24"/>
      <c r="X924" s="24"/>
      <c r="Y924" s="24"/>
      <c r="Z924" s="24"/>
      <c r="AA924" s="24"/>
      <c r="AB924" s="24"/>
    </row>
    <row r="925" spans="14:28" ht="15.75" customHeight="1">
      <c r="N925" s="24"/>
      <c r="O925" s="24"/>
      <c r="P925" s="24"/>
      <c r="Q925" s="24"/>
      <c r="R925" s="24"/>
      <c r="S925" s="24"/>
      <c r="T925" s="24"/>
      <c r="U925" s="24"/>
      <c r="V925" s="24"/>
      <c r="W925" s="24"/>
      <c r="X925" s="24"/>
      <c r="Y925" s="24"/>
      <c r="Z925" s="24"/>
      <c r="AA925" s="24"/>
      <c r="AB925" s="24"/>
    </row>
    <row r="926" spans="14:28" ht="15.75" customHeight="1">
      <c r="N926" s="24"/>
      <c r="O926" s="24"/>
      <c r="P926" s="24"/>
      <c r="Q926" s="24"/>
      <c r="R926" s="24"/>
      <c r="S926" s="24"/>
      <c r="T926" s="24"/>
      <c r="U926" s="24"/>
      <c r="V926" s="24"/>
      <c r="W926" s="24"/>
      <c r="X926" s="24"/>
      <c r="Y926" s="24"/>
      <c r="Z926" s="24"/>
      <c r="AA926" s="24"/>
      <c r="AB926" s="24"/>
    </row>
    <row r="927" spans="14:28" ht="15.75" customHeight="1">
      <c r="N927" s="24"/>
      <c r="O927" s="24"/>
      <c r="P927" s="24"/>
      <c r="Q927" s="24"/>
      <c r="R927" s="24"/>
      <c r="S927" s="24"/>
      <c r="T927" s="24"/>
      <c r="U927" s="24"/>
      <c r="V927" s="24"/>
      <c r="W927" s="24"/>
      <c r="X927" s="24"/>
      <c r="Y927" s="24"/>
      <c r="Z927" s="24"/>
      <c r="AA927" s="24"/>
      <c r="AB927" s="24"/>
    </row>
    <row r="928" spans="14:28" ht="15.75" customHeight="1">
      <c r="N928" s="24"/>
      <c r="O928" s="24"/>
      <c r="P928" s="24"/>
      <c r="Q928" s="24"/>
      <c r="R928" s="24"/>
      <c r="S928" s="24"/>
      <c r="T928" s="24"/>
      <c r="U928" s="24"/>
      <c r="V928" s="24"/>
      <c r="W928" s="24"/>
      <c r="X928" s="24"/>
      <c r="Y928" s="24"/>
      <c r="Z928" s="24"/>
      <c r="AA928" s="24"/>
      <c r="AB928" s="24"/>
    </row>
    <row r="929" spans="14:28" ht="15.75" customHeight="1">
      <c r="N929" s="24"/>
      <c r="O929" s="24"/>
      <c r="P929" s="24"/>
      <c r="Q929" s="24"/>
      <c r="R929" s="24"/>
      <c r="S929" s="24"/>
      <c r="T929" s="24"/>
      <c r="U929" s="24"/>
      <c r="V929" s="24"/>
      <c r="W929" s="24"/>
      <c r="X929" s="24"/>
      <c r="Y929" s="24"/>
      <c r="Z929" s="24"/>
      <c r="AA929" s="24"/>
      <c r="AB929" s="24"/>
    </row>
    <row r="930" spans="14:28" ht="15.75" customHeight="1">
      <c r="N930" s="24"/>
      <c r="O930" s="24"/>
      <c r="P930" s="24"/>
      <c r="Q930" s="24"/>
      <c r="R930" s="24"/>
      <c r="S930" s="24"/>
      <c r="T930" s="24"/>
      <c r="U930" s="24"/>
      <c r="V930" s="24"/>
      <c r="W930" s="24"/>
      <c r="X930" s="24"/>
      <c r="Y930" s="24"/>
      <c r="Z930" s="24"/>
      <c r="AA930" s="24"/>
      <c r="AB930" s="24"/>
    </row>
    <row r="931" spans="14:28" ht="15.75" customHeight="1">
      <c r="N931" s="24"/>
      <c r="O931" s="24"/>
      <c r="P931" s="24"/>
      <c r="Q931" s="24"/>
      <c r="R931" s="24"/>
      <c r="S931" s="24"/>
      <c r="T931" s="24"/>
      <c r="U931" s="24"/>
      <c r="V931" s="24"/>
      <c r="W931" s="24"/>
      <c r="X931" s="24"/>
      <c r="Y931" s="24"/>
      <c r="Z931" s="24"/>
      <c r="AA931" s="24"/>
      <c r="AB931" s="24"/>
    </row>
    <row r="932" spans="14:28" ht="15.75" customHeight="1">
      <c r="N932" s="24"/>
      <c r="O932" s="24"/>
      <c r="P932" s="24"/>
      <c r="Q932" s="24"/>
      <c r="R932" s="24"/>
      <c r="S932" s="24"/>
      <c r="T932" s="24"/>
      <c r="U932" s="24"/>
      <c r="V932" s="24"/>
      <c r="W932" s="24"/>
      <c r="X932" s="24"/>
      <c r="Y932" s="24"/>
      <c r="Z932" s="24"/>
      <c r="AA932" s="24"/>
      <c r="AB932" s="24"/>
    </row>
    <row r="933" spans="14:28" ht="15.75" customHeight="1">
      <c r="N933" s="24"/>
      <c r="O933" s="24"/>
      <c r="P933" s="24"/>
      <c r="Q933" s="24"/>
      <c r="R933" s="24"/>
      <c r="S933" s="24"/>
      <c r="T933" s="24"/>
      <c r="U933" s="24"/>
      <c r="V933" s="24"/>
      <c r="W933" s="24"/>
      <c r="X933" s="24"/>
      <c r="Y933" s="24"/>
      <c r="Z933" s="24"/>
      <c r="AA933" s="24"/>
      <c r="AB933" s="24"/>
    </row>
    <row r="934" spans="14:28" ht="15.75" customHeight="1">
      <c r="N934" s="24"/>
      <c r="O934" s="24"/>
      <c r="P934" s="24"/>
      <c r="Q934" s="24"/>
      <c r="R934" s="24"/>
      <c r="S934" s="24"/>
      <c r="T934" s="24"/>
      <c r="U934" s="24"/>
      <c r="V934" s="24"/>
      <c r="W934" s="24"/>
      <c r="X934" s="24"/>
      <c r="Y934" s="24"/>
      <c r="Z934" s="24"/>
      <c r="AA934" s="24"/>
      <c r="AB934" s="24"/>
    </row>
    <row r="935" spans="14:28" ht="15.75" customHeight="1">
      <c r="N935" s="24"/>
      <c r="O935" s="24"/>
      <c r="P935" s="24"/>
      <c r="Q935" s="24"/>
      <c r="R935" s="24"/>
      <c r="S935" s="24"/>
      <c r="T935" s="24"/>
      <c r="U935" s="24"/>
      <c r="V935" s="24"/>
      <c r="W935" s="24"/>
      <c r="X935" s="24"/>
      <c r="Y935" s="24"/>
      <c r="Z935" s="24"/>
      <c r="AA935" s="24"/>
      <c r="AB935" s="24"/>
    </row>
    <row r="936" spans="14:28" ht="15.75" customHeight="1">
      <c r="N936" s="24"/>
      <c r="O936" s="24"/>
      <c r="P936" s="24"/>
      <c r="Q936" s="24"/>
      <c r="R936" s="24"/>
      <c r="S936" s="24"/>
      <c r="T936" s="24"/>
      <c r="U936" s="24"/>
      <c r="V936" s="24"/>
      <c r="W936" s="24"/>
      <c r="X936" s="24"/>
      <c r="Y936" s="24"/>
      <c r="Z936" s="24"/>
      <c r="AA936" s="24"/>
      <c r="AB936" s="24"/>
    </row>
    <row r="937" spans="14:28" ht="15.75" customHeight="1">
      <c r="N937" s="24"/>
      <c r="O937" s="24"/>
      <c r="P937" s="24"/>
      <c r="Q937" s="24"/>
      <c r="R937" s="24"/>
      <c r="S937" s="24"/>
      <c r="T937" s="24"/>
      <c r="U937" s="24"/>
      <c r="V937" s="24"/>
      <c r="W937" s="24"/>
      <c r="X937" s="24"/>
      <c r="Y937" s="24"/>
      <c r="Z937" s="24"/>
      <c r="AA937" s="24"/>
      <c r="AB937" s="24"/>
    </row>
    <row r="938" spans="14:28" ht="15.75" customHeight="1">
      <c r="N938" s="24"/>
      <c r="O938" s="24"/>
      <c r="P938" s="24"/>
      <c r="Q938" s="24"/>
      <c r="R938" s="24"/>
      <c r="S938" s="24"/>
      <c r="T938" s="24"/>
      <c r="U938" s="24"/>
      <c r="V938" s="24"/>
      <c r="W938" s="24"/>
      <c r="X938" s="24"/>
      <c r="Y938" s="24"/>
      <c r="Z938" s="24"/>
      <c r="AA938" s="24"/>
      <c r="AB938" s="24"/>
    </row>
    <row r="939" spans="14:28" ht="15.75" customHeight="1">
      <c r="N939" s="24"/>
      <c r="O939" s="24"/>
      <c r="P939" s="24"/>
      <c r="Q939" s="24"/>
      <c r="R939" s="24"/>
      <c r="S939" s="24"/>
      <c r="T939" s="24"/>
      <c r="U939" s="24"/>
      <c r="V939" s="24"/>
      <c r="W939" s="24"/>
      <c r="X939" s="24"/>
      <c r="Y939" s="24"/>
      <c r="Z939" s="24"/>
      <c r="AA939" s="24"/>
      <c r="AB939" s="24"/>
    </row>
    <row r="940" spans="14:28" ht="15.75" customHeight="1">
      <c r="N940" s="24"/>
      <c r="O940" s="24"/>
      <c r="P940" s="24"/>
      <c r="Q940" s="24"/>
      <c r="R940" s="24"/>
      <c r="S940" s="24"/>
      <c r="T940" s="24"/>
      <c r="U940" s="24"/>
      <c r="V940" s="24"/>
      <c r="W940" s="24"/>
      <c r="X940" s="24"/>
      <c r="Y940" s="24"/>
      <c r="Z940" s="24"/>
      <c r="AA940" s="24"/>
      <c r="AB940" s="24"/>
    </row>
    <row r="941" spans="14:28" ht="15.75" customHeight="1">
      <c r="N941" s="24"/>
      <c r="O941" s="24"/>
      <c r="P941" s="24"/>
      <c r="Q941" s="24"/>
      <c r="R941" s="24"/>
      <c r="S941" s="24"/>
      <c r="T941" s="24"/>
      <c r="U941" s="24"/>
      <c r="V941" s="24"/>
      <c r="W941" s="24"/>
      <c r="X941" s="24"/>
      <c r="Y941" s="24"/>
      <c r="Z941" s="24"/>
      <c r="AA941" s="24"/>
      <c r="AB941" s="24"/>
    </row>
    <row r="942" spans="14:28" ht="15.75" customHeight="1">
      <c r="N942" s="24"/>
      <c r="O942" s="24"/>
      <c r="P942" s="24"/>
      <c r="Q942" s="24"/>
      <c r="R942" s="24"/>
      <c r="S942" s="24"/>
      <c r="T942" s="24"/>
      <c r="U942" s="24"/>
      <c r="V942" s="24"/>
      <c r="W942" s="24"/>
      <c r="X942" s="24"/>
      <c r="Y942" s="24"/>
      <c r="Z942" s="24"/>
      <c r="AA942" s="24"/>
      <c r="AB942" s="24"/>
    </row>
    <row r="943" spans="14:28" ht="15.75" customHeight="1">
      <c r="N943" s="24"/>
      <c r="O943" s="24"/>
      <c r="P943" s="24"/>
      <c r="Q943" s="24"/>
      <c r="R943" s="24"/>
      <c r="S943" s="24"/>
      <c r="T943" s="24"/>
      <c r="U943" s="24"/>
      <c r="V943" s="24"/>
      <c r="W943" s="24"/>
      <c r="X943" s="24"/>
      <c r="Y943" s="24"/>
      <c r="Z943" s="24"/>
      <c r="AA943" s="24"/>
      <c r="AB943" s="24"/>
    </row>
    <row r="944" spans="14:28" ht="15.75" customHeight="1">
      <c r="N944" s="24"/>
      <c r="O944" s="24"/>
      <c r="P944" s="24"/>
      <c r="Q944" s="24"/>
      <c r="R944" s="24"/>
      <c r="S944" s="24"/>
      <c r="T944" s="24"/>
      <c r="U944" s="24"/>
      <c r="V944" s="24"/>
      <c r="W944" s="24"/>
      <c r="X944" s="24"/>
      <c r="Y944" s="24"/>
      <c r="Z944" s="24"/>
      <c r="AA944" s="24"/>
      <c r="AB944" s="24"/>
    </row>
    <row r="945" spans="14:28" ht="15.75" customHeight="1">
      <c r="N945" s="24"/>
      <c r="O945" s="24"/>
      <c r="P945" s="24"/>
      <c r="Q945" s="24"/>
      <c r="R945" s="24"/>
      <c r="S945" s="24"/>
      <c r="T945" s="24"/>
      <c r="U945" s="24"/>
      <c r="V945" s="24"/>
      <c r="W945" s="24"/>
      <c r="X945" s="24"/>
      <c r="Y945" s="24"/>
      <c r="Z945" s="24"/>
      <c r="AA945" s="24"/>
      <c r="AB945" s="24"/>
    </row>
    <row r="946" spans="14:28" ht="15.75" customHeight="1">
      <c r="N946" s="24"/>
      <c r="O946" s="24"/>
      <c r="P946" s="24"/>
      <c r="Q946" s="24"/>
      <c r="R946" s="24"/>
      <c r="S946" s="24"/>
      <c r="T946" s="24"/>
      <c r="U946" s="24"/>
      <c r="V946" s="24"/>
      <c r="W946" s="24"/>
      <c r="X946" s="24"/>
      <c r="Y946" s="24"/>
      <c r="Z946" s="24"/>
      <c r="AA946" s="24"/>
      <c r="AB946" s="24"/>
    </row>
    <row r="947" spans="14:28" ht="15.75" customHeight="1">
      <c r="N947" s="24"/>
      <c r="O947" s="24"/>
      <c r="P947" s="24"/>
      <c r="Q947" s="24"/>
      <c r="R947" s="24"/>
      <c r="S947" s="24"/>
      <c r="T947" s="24"/>
      <c r="U947" s="24"/>
      <c r="V947" s="24"/>
      <c r="W947" s="24"/>
      <c r="X947" s="24"/>
      <c r="Y947" s="24"/>
      <c r="Z947" s="24"/>
      <c r="AA947" s="24"/>
      <c r="AB947" s="24"/>
    </row>
    <row r="948" spans="14:28" ht="15.75" customHeight="1">
      <c r="N948" s="24"/>
      <c r="O948" s="24"/>
      <c r="P948" s="24"/>
      <c r="Q948" s="24"/>
      <c r="R948" s="24"/>
      <c r="S948" s="24"/>
      <c r="T948" s="24"/>
      <c r="U948" s="24"/>
      <c r="V948" s="24"/>
      <c r="W948" s="24"/>
      <c r="X948" s="24"/>
      <c r="Y948" s="24"/>
      <c r="Z948" s="24"/>
      <c r="AA948" s="24"/>
      <c r="AB948" s="24"/>
    </row>
    <row r="949" spans="14:28" ht="15.75" customHeight="1">
      <c r="N949" s="24"/>
      <c r="O949" s="24"/>
      <c r="P949" s="24"/>
      <c r="Q949" s="24"/>
      <c r="R949" s="24"/>
      <c r="S949" s="24"/>
      <c r="T949" s="24"/>
      <c r="U949" s="24"/>
      <c r="V949" s="24"/>
      <c r="W949" s="24"/>
      <c r="X949" s="24"/>
      <c r="Y949" s="24"/>
      <c r="Z949" s="24"/>
      <c r="AA949" s="24"/>
      <c r="AB949" s="24"/>
    </row>
    <row r="950" spans="14:28" ht="15.75" customHeight="1">
      <c r="N950" s="24"/>
      <c r="O950" s="24"/>
      <c r="P950" s="24"/>
      <c r="Q950" s="24"/>
      <c r="R950" s="24"/>
      <c r="S950" s="24"/>
      <c r="T950" s="24"/>
      <c r="U950" s="24"/>
      <c r="V950" s="24"/>
      <c r="W950" s="24"/>
      <c r="X950" s="24"/>
      <c r="Y950" s="24"/>
      <c r="Z950" s="24"/>
      <c r="AA950" s="24"/>
      <c r="AB950" s="24"/>
    </row>
    <row r="951" spans="14:28" ht="15.75" customHeight="1">
      <c r="N951" s="24"/>
      <c r="O951" s="24"/>
      <c r="P951" s="24"/>
      <c r="Q951" s="24"/>
      <c r="R951" s="24"/>
      <c r="S951" s="24"/>
      <c r="T951" s="24"/>
      <c r="U951" s="24"/>
      <c r="V951" s="24"/>
      <c r="W951" s="24"/>
      <c r="X951" s="24"/>
      <c r="Y951" s="24"/>
      <c r="Z951" s="24"/>
      <c r="AA951" s="24"/>
      <c r="AB951" s="24"/>
    </row>
    <row r="952" spans="14:28" ht="15.75" customHeight="1">
      <c r="N952" s="24"/>
      <c r="O952" s="24"/>
      <c r="P952" s="24"/>
      <c r="Q952" s="24"/>
      <c r="R952" s="24"/>
      <c r="S952" s="24"/>
      <c r="T952" s="24"/>
      <c r="U952" s="24"/>
      <c r="V952" s="24"/>
      <c r="W952" s="24"/>
      <c r="X952" s="24"/>
      <c r="Y952" s="24"/>
      <c r="Z952" s="24"/>
      <c r="AA952" s="24"/>
      <c r="AB952" s="24"/>
    </row>
    <row r="953" spans="14:28" ht="15.75" customHeight="1">
      <c r="N953" s="24"/>
      <c r="O953" s="24"/>
      <c r="P953" s="24"/>
      <c r="Q953" s="24"/>
      <c r="R953" s="24"/>
      <c r="S953" s="24"/>
      <c r="T953" s="24"/>
      <c r="U953" s="24"/>
      <c r="V953" s="24"/>
      <c r="W953" s="24"/>
      <c r="X953" s="24"/>
      <c r="Y953" s="24"/>
      <c r="Z953" s="24"/>
      <c r="AA953" s="24"/>
      <c r="AB953" s="24"/>
    </row>
    <row r="954" spans="14:28" ht="15.75" customHeight="1">
      <c r="N954" s="24"/>
      <c r="O954" s="24"/>
      <c r="P954" s="24"/>
      <c r="Q954" s="24"/>
      <c r="R954" s="24"/>
      <c r="S954" s="24"/>
      <c r="T954" s="24"/>
      <c r="U954" s="24"/>
      <c r="V954" s="24"/>
      <c r="W954" s="24"/>
      <c r="X954" s="24"/>
      <c r="Y954" s="24"/>
      <c r="Z954" s="24"/>
      <c r="AA954" s="24"/>
      <c r="AB954" s="24"/>
    </row>
    <row r="955" spans="14:28" ht="15.75" customHeight="1">
      <c r="N955" s="24"/>
      <c r="O955" s="24"/>
      <c r="P955" s="24"/>
      <c r="Q955" s="24"/>
      <c r="R955" s="24"/>
      <c r="S955" s="24"/>
      <c r="T955" s="24"/>
      <c r="U955" s="24"/>
      <c r="V955" s="24"/>
      <c r="W955" s="24"/>
      <c r="X955" s="24"/>
      <c r="Y955" s="24"/>
      <c r="Z955" s="24"/>
      <c r="AA955" s="24"/>
      <c r="AB955" s="24"/>
    </row>
    <row r="956" spans="14:28" ht="15.75" customHeight="1">
      <c r="N956" s="24"/>
      <c r="O956" s="24"/>
      <c r="P956" s="24"/>
      <c r="Q956" s="24"/>
      <c r="R956" s="24"/>
      <c r="S956" s="24"/>
      <c r="T956" s="24"/>
      <c r="U956" s="24"/>
      <c r="V956" s="24"/>
      <c r="W956" s="24"/>
      <c r="X956" s="24"/>
      <c r="Y956" s="24"/>
      <c r="Z956" s="24"/>
      <c r="AA956" s="24"/>
      <c r="AB956" s="24"/>
    </row>
    <row r="957" spans="14:28" ht="15.75" customHeight="1">
      <c r="N957" s="24"/>
      <c r="O957" s="24"/>
      <c r="P957" s="24"/>
      <c r="Q957" s="24"/>
      <c r="R957" s="24"/>
      <c r="S957" s="24"/>
      <c r="T957" s="24"/>
      <c r="U957" s="24"/>
      <c r="V957" s="24"/>
      <c r="W957" s="24"/>
      <c r="X957" s="24"/>
      <c r="Y957" s="24"/>
      <c r="Z957" s="24"/>
      <c r="AA957" s="24"/>
      <c r="AB957" s="24"/>
    </row>
    <row r="958" spans="14:28" ht="15.75" customHeight="1">
      <c r="N958" s="24"/>
      <c r="O958" s="24"/>
      <c r="P958" s="24"/>
      <c r="Q958" s="24"/>
      <c r="R958" s="24"/>
      <c r="S958" s="24"/>
      <c r="T958" s="24"/>
      <c r="U958" s="24"/>
      <c r="V958" s="24"/>
      <c r="W958" s="24"/>
      <c r="X958" s="24"/>
      <c r="Y958" s="24"/>
      <c r="Z958" s="24"/>
      <c r="AA958" s="24"/>
      <c r="AB958" s="24"/>
    </row>
    <row r="959" spans="14:28" ht="15.75" customHeight="1">
      <c r="N959" s="24"/>
      <c r="O959" s="24"/>
      <c r="P959" s="24"/>
      <c r="Q959" s="24"/>
      <c r="R959" s="24"/>
      <c r="S959" s="24"/>
      <c r="T959" s="24"/>
      <c r="U959" s="24"/>
      <c r="V959" s="24"/>
      <c r="W959" s="24"/>
      <c r="X959" s="24"/>
      <c r="Y959" s="24"/>
      <c r="Z959" s="24"/>
      <c r="AA959" s="24"/>
      <c r="AB959" s="24"/>
    </row>
    <row r="960" spans="14:28" ht="15.75" customHeight="1">
      <c r="N960" s="24"/>
      <c r="O960" s="24"/>
      <c r="P960" s="24"/>
      <c r="Q960" s="24"/>
      <c r="R960" s="24"/>
      <c r="S960" s="24"/>
      <c r="T960" s="24"/>
      <c r="U960" s="24"/>
      <c r="V960" s="24"/>
      <c r="W960" s="24"/>
      <c r="X960" s="24"/>
      <c r="Y960" s="24"/>
      <c r="Z960" s="24"/>
      <c r="AA960" s="24"/>
      <c r="AB960" s="24"/>
    </row>
    <row r="961" spans="14:28" ht="15.75" customHeight="1">
      <c r="N961" s="24"/>
      <c r="O961" s="24"/>
      <c r="P961" s="24"/>
      <c r="Q961" s="24"/>
      <c r="R961" s="24"/>
      <c r="S961" s="24"/>
      <c r="T961" s="24"/>
      <c r="U961" s="24"/>
      <c r="V961" s="24"/>
      <c r="W961" s="24"/>
      <c r="X961" s="24"/>
      <c r="Y961" s="24"/>
      <c r="Z961" s="24"/>
      <c r="AA961" s="24"/>
      <c r="AB961" s="24"/>
    </row>
    <row r="962" spans="14:28" ht="15.75" customHeight="1">
      <c r="N962" s="24"/>
      <c r="O962" s="24"/>
      <c r="P962" s="24"/>
      <c r="Q962" s="24"/>
      <c r="R962" s="24"/>
      <c r="S962" s="24"/>
      <c r="T962" s="24"/>
      <c r="U962" s="24"/>
      <c r="V962" s="24"/>
      <c r="W962" s="24"/>
      <c r="X962" s="24"/>
      <c r="Y962" s="24"/>
      <c r="Z962" s="24"/>
      <c r="AA962" s="24"/>
      <c r="AB962" s="24"/>
    </row>
    <row r="963" spans="14:28" ht="15.75" customHeight="1">
      <c r="N963" s="24"/>
      <c r="O963" s="24"/>
      <c r="P963" s="24"/>
      <c r="Q963" s="24"/>
      <c r="R963" s="24"/>
      <c r="S963" s="24"/>
      <c r="T963" s="24"/>
      <c r="U963" s="24"/>
      <c r="V963" s="24"/>
      <c r="W963" s="24"/>
      <c r="X963" s="24"/>
      <c r="Y963" s="24"/>
      <c r="Z963" s="24"/>
      <c r="AA963" s="24"/>
      <c r="AB963" s="24"/>
    </row>
    <row r="964" spans="14:28" ht="15.75" customHeight="1">
      <c r="N964" s="24"/>
      <c r="O964" s="24"/>
      <c r="P964" s="24"/>
      <c r="Q964" s="24"/>
      <c r="R964" s="24"/>
      <c r="S964" s="24"/>
      <c r="T964" s="24"/>
      <c r="U964" s="24"/>
      <c r="V964" s="24"/>
      <c r="W964" s="24"/>
      <c r="X964" s="24"/>
      <c r="Y964" s="24"/>
      <c r="Z964" s="24"/>
      <c r="AA964" s="24"/>
      <c r="AB964" s="24"/>
    </row>
    <row r="965" spans="14:28" ht="15.75" customHeight="1">
      <c r="N965" s="24"/>
      <c r="O965" s="24"/>
      <c r="P965" s="24"/>
      <c r="Q965" s="24"/>
      <c r="R965" s="24"/>
      <c r="S965" s="24"/>
      <c r="T965" s="24"/>
      <c r="U965" s="24"/>
      <c r="V965" s="24"/>
      <c r="W965" s="24"/>
      <c r="X965" s="24"/>
      <c r="Y965" s="24"/>
      <c r="Z965" s="24"/>
      <c r="AA965" s="24"/>
      <c r="AB965" s="24"/>
    </row>
    <row r="966" spans="14:28" ht="15.75" customHeight="1">
      <c r="N966" s="24"/>
      <c r="O966" s="24"/>
      <c r="P966" s="24"/>
      <c r="Q966" s="24"/>
      <c r="R966" s="24"/>
      <c r="S966" s="24"/>
      <c r="T966" s="24"/>
      <c r="U966" s="24"/>
      <c r="V966" s="24"/>
      <c r="W966" s="24"/>
      <c r="X966" s="24"/>
      <c r="Y966" s="24"/>
      <c r="Z966" s="24"/>
      <c r="AA966" s="24"/>
      <c r="AB966" s="24"/>
    </row>
    <row r="967" spans="14:28" ht="15.75" customHeight="1">
      <c r="N967" s="24"/>
      <c r="O967" s="24"/>
      <c r="P967" s="24"/>
      <c r="Q967" s="24"/>
      <c r="R967" s="24"/>
      <c r="S967" s="24"/>
      <c r="T967" s="24"/>
      <c r="U967" s="24"/>
      <c r="V967" s="24"/>
      <c r="W967" s="24"/>
      <c r="X967" s="24"/>
      <c r="Y967" s="24"/>
      <c r="Z967" s="24"/>
      <c r="AA967" s="24"/>
      <c r="AB967" s="24"/>
    </row>
    <row r="968" spans="14:28" ht="15.75" customHeight="1">
      <c r="N968" s="24"/>
      <c r="O968" s="24"/>
      <c r="P968" s="24"/>
      <c r="Q968" s="24"/>
      <c r="R968" s="24"/>
      <c r="S968" s="24"/>
      <c r="T968" s="24"/>
      <c r="U968" s="24"/>
      <c r="V968" s="24"/>
      <c r="W968" s="24"/>
      <c r="X968" s="24"/>
      <c r="Y968" s="24"/>
      <c r="Z968" s="24"/>
      <c r="AA968" s="24"/>
      <c r="AB968" s="24"/>
    </row>
    <row r="969" spans="14:28" ht="15.75" customHeight="1">
      <c r="N969" s="24"/>
      <c r="O969" s="24"/>
      <c r="P969" s="24"/>
      <c r="Q969" s="24"/>
      <c r="R969" s="24"/>
      <c r="S969" s="24"/>
      <c r="T969" s="24"/>
      <c r="U969" s="24"/>
      <c r="V969" s="24"/>
      <c r="W969" s="24"/>
      <c r="X969" s="24"/>
      <c r="Y969" s="24"/>
      <c r="Z969" s="24"/>
      <c r="AA969" s="24"/>
      <c r="AB969" s="24"/>
    </row>
    <row r="970" spans="14:28" ht="15.75" customHeight="1">
      <c r="N970" s="24"/>
      <c r="O970" s="24"/>
      <c r="P970" s="24"/>
      <c r="Q970" s="24"/>
      <c r="R970" s="24"/>
      <c r="S970" s="24"/>
      <c r="T970" s="24"/>
      <c r="U970" s="24"/>
      <c r="V970" s="24"/>
      <c r="W970" s="24"/>
      <c r="X970" s="24"/>
      <c r="Y970" s="24"/>
      <c r="Z970" s="24"/>
      <c r="AA970" s="24"/>
      <c r="AB970" s="24"/>
    </row>
    <row r="971" spans="14:28" ht="15.75" customHeight="1">
      <c r="N971" s="24"/>
      <c r="O971" s="24"/>
      <c r="P971" s="24"/>
      <c r="Q971" s="24"/>
      <c r="R971" s="24"/>
      <c r="S971" s="24"/>
      <c r="T971" s="24"/>
      <c r="U971" s="24"/>
      <c r="V971" s="24"/>
      <c r="W971" s="24"/>
      <c r="X971" s="24"/>
      <c r="Y971" s="24"/>
      <c r="Z971" s="24"/>
      <c r="AA971" s="24"/>
      <c r="AB971" s="24"/>
    </row>
    <row r="972" spans="14:28" ht="15.75" customHeight="1">
      <c r="N972" s="24"/>
      <c r="O972" s="24"/>
      <c r="P972" s="24"/>
      <c r="Q972" s="24"/>
      <c r="R972" s="24"/>
      <c r="S972" s="24"/>
      <c r="T972" s="24"/>
      <c r="U972" s="24"/>
      <c r="V972" s="24"/>
      <c r="W972" s="24"/>
      <c r="X972" s="24"/>
      <c r="Y972" s="24"/>
      <c r="Z972" s="24"/>
      <c r="AA972" s="24"/>
      <c r="AB972" s="24"/>
    </row>
    <row r="973" spans="14:28" ht="15.75" customHeight="1">
      <c r="N973" s="24"/>
      <c r="O973" s="24"/>
      <c r="P973" s="24"/>
      <c r="Q973" s="24"/>
      <c r="R973" s="24"/>
      <c r="S973" s="24"/>
      <c r="T973" s="24"/>
      <c r="U973" s="24"/>
      <c r="V973" s="24"/>
      <c r="W973" s="24"/>
      <c r="X973" s="24"/>
      <c r="Y973" s="24"/>
      <c r="Z973" s="24"/>
      <c r="AA973" s="24"/>
      <c r="AB973" s="24"/>
    </row>
    <row r="974" spans="14:28" ht="15.75" customHeight="1">
      <c r="N974" s="24"/>
      <c r="O974" s="24"/>
      <c r="P974" s="24"/>
      <c r="Q974" s="24"/>
      <c r="R974" s="24"/>
      <c r="S974" s="24"/>
      <c r="T974" s="24"/>
      <c r="U974" s="24"/>
      <c r="V974" s="24"/>
      <c r="W974" s="24"/>
      <c r="X974" s="24"/>
      <c r="Y974" s="24"/>
      <c r="Z974" s="24"/>
      <c r="AA974" s="24"/>
      <c r="AB974" s="24"/>
    </row>
    <row r="975" spans="14:28" ht="15.75" customHeight="1">
      <c r="N975" s="24"/>
      <c r="O975" s="24"/>
      <c r="P975" s="24"/>
      <c r="Q975" s="24"/>
      <c r="R975" s="24"/>
      <c r="S975" s="24"/>
      <c r="T975" s="24"/>
      <c r="U975" s="24"/>
      <c r="V975" s="24"/>
      <c r="W975" s="24"/>
      <c r="X975" s="24"/>
      <c r="Y975" s="24"/>
      <c r="Z975" s="24"/>
      <c r="AA975" s="24"/>
      <c r="AB975" s="24"/>
    </row>
    <row r="976" spans="14:28" ht="15.75" customHeight="1">
      <c r="N976" s="24"/>
      <c r="O976" s="24"/>
      <c r="P976" s="24"/>
      <c r="Q976" s="24"/>
      <c r="R976" s="24"/>
      <c r="S976" s="24"/>
      <c r="T976" s="24"/>
      <c r="U976" s="24"/>
      <c r="V976" s="24"/>
      <c r="W976" s="24"/>
      <c r="X976" s="24"/>
      <c r="Y976" s="24"/>
      <c r="Z976" s="24"/>
      <c r="AA976" s="24"/>
      <c r="AB976" s="24"/>
    </row>
    <row r="977" spans="14:28" ht="15.75" customHeight="1">
      <c r="N977" s="24"/>
      <c r="O977" s="24"/>
      <c r="P977" s="24"/>
      <c r="Q977" s="24"/>
      <c r="R977" s="24"/>
      <c r="S977" s="24"/>
      <c r="T977" s="24"/>
      <c r="U977" s="24"/>
      <c r="V977" s="24"/>
      <c r="W977" s="24"/>
      <c r="X977" s="24"/>
      <c r="Y977" s="24"/>
      <c r="Z977" s="24"/>
      <c r="AA977" s="24"/>
      <c r="AB977" s="24"/>
    </row>
    <row r="978" spans="14:28" ht="15.75" customHeight="1">
      <c r="N978" s="24"/>
      <c r="O978" s="24"/>
      <c r="P978" s="24"/>
      <c r="Q978" s="24"/>
      <c r="R978" s="24"/>
      <c r="S978" s="24"/>
      <c r="T978" s="24"/>
      <c r="U978" s="24"/>
      <c r="V978" s="24"/>
      <c r="W978" s="24"/>
      <c r="X978" s="24"/>
      <c r="Y978" s="24"/>
      <c r="Z978" s="24"/>
      <c r="AA978" s="24"/>
      <c r="AB978" s="24"/>
    </row>
    <row r="979" spans="14:28" ht="15.75" customHeight="1">
      <c r="N979" s="24"/>
      <c r="O979" s="24"/>
      <c r="P979" s="24"/>
      <c r="Q979" s="24"/>
      <c r="R979" s="24"/>
      <c r="S979" s="24"/>
      <c r="T979" s="24"/>
      <c r="U979" s="24"/>
      <c r="V979" s="24"/>
      <c r="W979" s="24"/>
      <c r="X979" s="24"/>
      <c r="Y979" s="24"/>
      <c r="Z979" s="24"/>
      <c r="AA979" s="24"/>
      <c r="AB979" s="24"/>
    </row>
    <row r="980" spans="14:28" ht="15.75" customHeight="1">
      <c r="N980" s="24"/>
      <c r="O980" s="24"/>
      <c r="P980" s="24"/>
      <c r="Q980" s="24"/>
      <c r="R980" s="24"/>
      <c r="S980" s="24"/>
      <c r="T980" s="24"/>
      <c r="U980" s="24"/>
      <c r="V980" s="24"/>
      <c r="W980" s="24"/>
      <c r="X980" s="24"/>
      <c r="Y980" s="24"/>
      <c r="Z980" s="24"/>
      <c r="AA980" s="24"/>
      <c r="AB980" s="24"/>
    </row>
    <row r="981" spans="14:28" ht="15.75" customHeight="1">
      <c r="N981" s="24"/>
      <c r="O981" s="24"/>
      <c r="P981" s="24"/>
      <c r="Q981" s="24"/>
      <c r="R981" s="24"/>
      <c r="S981" s="24"/>
      <c r="T981" s="24"/>
      <c r="U981" s="24"/>
      <c r="V981" s="24"/>
      <c r="W981" s="24"/>
      <c r="X981" s="24"/>
      <c r="Y981" s="24"/>
      <c r="Z981" s="24"/>
      <c r="AA981" s="24"/>
      <c r="AB981" s="24"/>
    </row>
    <row r="982" spans="14:28" ht="15.75" customHeight="1">
      <c r="N982" s="24"/>
      <c r="O982" s="24"/>
      <c r="P982" s="24"/>
      <c r="Q982" s="24"/>
      <c r="R982" s="24"/>
      <c r="S982" s="24"/>
      <c r="T982" s="24"/>
      <c r="U982" s="24"/>
      <c r="V982" s="24"/>
      <c r="W982" s="24"/>
      <c r="X982" s="24"/>
      <c r="Y982" s="24"/>
      <c r="Z982" s="24"/>
      <c r="AA982" s="24"/>
      <c r="AB982" s="24"/>
    </row>
    <row r="983" spans="14:28" ht="15.75" customHeight="1">
      <c r="N983" s="24"/>
      <c r="O983" s="24"/>
      <c r="P983" s="24"/>
      <c r="Q983" s="24"/>
      <c r="R983" s="24"/>
      <c r="S983" s="24"/>
      <c r="T983" s="24"/>
      <c r="U983" s="24"/>
      <c r="V983" s="24"/>
      <c r="W983" s="24"/>
      <c r="X983" s="24"/>
      <c r="Y983" s="24"/>
      <c r="Z983" s="24"/>
      <c r="AA983" s="24"/>
      <c r="AB983" s="24"/>
    </row>
    <row r="984" spans="14:28" ht="15.75" customHeight="1">
      <c r="N984" s="24"/>
      <c r="O984" s="24"/>
      <c r="P984" s="24"/>
      <c r="Q984" s="24"/>
      <c r="R984" s="24"/>
      <c r="S984" s="24"/>
      <c r="T984" s="24"/>
      <c r="U984" s="24"/>
      <c r="V984" s="24"/>
      <c r="W984" s="24"/>
      <c r="X984" s="24"/>
      <c r="Y984" s="24"/>
      <c r="Z984" s="24"/>
      <c r="AA984" s="24"/>
      <c r="AB984" s="24"/>
    </row>
    <row r="985" spans="14:28" ht="15.75" customHeight="1">
      <c r="N985" s="24"/>
      <c r="O985" s="24"/>
      <c r="P985" s="24"/>
      <c r="Q985" s="24"/>
      <c r="R985" s="24"/>
      <c r="S985" s="24"/>
      <c r="T985" s="24"/>
      <c r="U985" s="24"/>
      <c r="V985" s="24"/>
      <c r="W985" s="24"/>
      <c r="X985" s="24"/>
      <c r="Y985" s="24"/>
      <c r="Z985" s="24"/>
      <c r="AA985" s="24"/>
      <c r="AB985" s="24"/>
    </row>
    <row r="986" spans="14:28" ht="15.75" customHeight="1">
      <c r="N986" s="24"/>
      <c r="O986" s="24"/>
      <c r="P986" s="24"/>
      <c r="Q986" s="24"/>
      <c r="R986" s="24"/>
      <c r="S986" s="24"/>
      <c r="T986" s="24"/>
      <c r="U986" s="24"/>
      <c r="V986" s="24"/>
      <c r="W986" s="24"/>
      <c r="X986" s="24"/>
      <c r="Y986" s="24"/>
      <c r="Z986" s="24"/>
      <c r="AA986" s="24"/>
      <c r="AB986" s="24"/>
    </row>
    <row r="987" spans="14:28" ht="15.75" customHeight="1">
      <c r="N987" s="24"/>
      <c r="O987" s="24"/>
      <c r="P987" s="24"/>
      <c r="Q987" s="24"/>
      <c r="R987" s="24"/>
      <c r="S987" s="24"/>
      <c r="T987" s="24"/>
      <c r="U987" s="24"/>
      <c r="V987" s="24"/>
      <c r="W987" s="24"/>
      <c r="X987" s="24"/>
      <c r="Y987" s="24"/>
      <c r="Z987" s="24"/>
      <c r="AA987" s="24"/>
      <c r="AB987" s="24"/>
    </row>
    <row r="988" spans="14:28" ht="15.75" customHeight="1">
      <c r="N988" s="24"/>
      <c r="O988" s="24"/>
      <c r="P988" s="24"/>
      <c r="Q988" s="24"/>
      <c r="R988" s="24"/>
      <c r="S988" s="24"/>
      <c r="T988" s="24"/>
      <c r="U988" s="24"/>
      <c r="V988" s="24"/>
      <c r="W988" s="24"/>
      <c r="X988" s="24"/>
      <c r="Y988" s="24"/>
      <c r="Z988" s="24"/>
      <c r="AA988" s="24"/>
      <c r="AB988" s="24"/>
    </row>
    <row r="989" spans="14:28" ht="15.75" customHeight="1">
      <c r="N989" s="24"/>
      <c r="O989" s="24"/>
      <c r="P989" s="24"/>
      <c r="Q989" s="24"/>
      <c r="R989" s="24"/>
      <c r="S989" s="24"/>
      <c r="T989" s="24"/>
      <c r="U989" s="24"/>
      <c r="V989" s="24"/>
      <c r="W989" s="24"/>
      <c r="X989" s="24"/>
      <c r="Y989" s="24"/>
      <c r="Z989" s="24"/>
      <c r="AA989" s="24"/>
      <c r="AB989" s="24"/>
    </row>
    <row r="990" spans="14:28" ht="15.75" customHeight="1">
      <c r="N990" s="24"/>
      <c r="O990" s="24"/>
      <c r="P990" s="24"/>
      <c r="Q990" s="24"/>
      <c r="R990" s="24"/>
      <c r="S990" s="24"/>
      <c r="T990" s="24"/>
      <c r="U990" s="24"/>
      <c r="V990" s="24"/>
      <c r="W990" s="24"/>
      <c r="X990" s="24"/>
      <c r="Y990" s="24"/>
      <c r="Z990" s="24"/>
      <c r="AA990" s="24"/>
      <c r="AB990" s="24"/>
    </row>
    <row r="991" spans="14:28" ht="15.75" customHeight="1">
      <c r="N991" s="24"/>
      <c r="O991" s="24"/>
      <c r="P991" s="24"/>
      <c r="Q991" s="24"/>
      <c r="R991" s="24"/>
      <c r="S991" s="24"/>
      <c r="T991" s="24"/>
      <c r="U991" s="24"/>
      <c r="V991" s="24"/>
      <c r="W991" s="24"/>
      <c r="X991" s="24"/>
      <c r="Y991" s="24"/>
      <c r="Z991" s="24"/>
      <c r="AA991" s="24"/>
      <c r="AB991" s="24"/>
    </row>
    <row r="992" spans="14:28" ht="15.75" customHeight="1">
      <c r="N992" s="24"/>
      <c r="O992" s="24"/>
      <c r="P992" s="24"/>
      <c r="Q992" s="24"/>
      <c r="R992" s="24"/>
      <c r="S992" s="24"/>
      <c r="T992" s="24"/>
      <c r="U992" s="24"/>
      <c r="V992" s="24"/>
      <c r="W992" s="24"/>
      <c r="X992" s="24"/>
      <c r="Y992" s="24"/>
      <c r="Z992" s="24"/>
      <c r="AA992" s="24"/>
      <c r="AB992" s="24"/>
    </row>
    <row r="993" spans="14:28" ht="15.75" customHeight="1">
      <c r="N993" s="24"/>
      <c r="O993" s="24"/>
      <c r="P993" s="24"/>
      <c r="Q993" s="24"/>
      <c r="R993" s="24"/>
      <c r="S993" s="24"/>
      <c r="T993" s="24"/>
      <c r="U993" s="24"/>
      <c r="V993" s="24"/>
      <c r="W993" s="24"/>
      <c r="X993" s="24"/>
      <c r="Y993" s="24"/>
      <c r="Z993" s="24"/>
      <c r="AA993" s="24"/>
      <c r="AB993" s="24"/>
    </row>
    <row r="994" spans="14:28" ht="15.75" customHeight="1">
      <c r="N994" s="24"/>
      <c r="O994" s="24"/>
      <c r="P994" s="24"/>
      <c r="Q994" s="24"/>
      <c r="R994" s="24"/>
      <c r="S994" s="24"/>
      <c r="T994" s="24"/>
      <c r="U994" s="24"/>
      <c r="V994" s="24"/>
      <c r="W994" s="24"/>
      <c r="X994" s="24"/>
      <c r="Y994" s="24"/>
      <c r="Z994" s="24"/>
      <c r="AA994" s="24"/>
      <c r="AB994" s="24"/>
    </row>
    <row r="995" spans="14:28" ht="15.75" customHeight="1">
      <c r="N995" s="24"/>
      <c r="O995" s="24"/>
      <c r="P995" s="24"/>
      <c r="Q995" s="24"/>
      <c r="R995" s="24"/>
      <c r="S995" s="24"/>
      <c r="T995" s="24"/>
      <c r="U995" s="24"/>
      <c r="V995" s="24"/>
      <c r="W995" s="24"/>
      <c r="X995" s="24"/>
      <c r="Y995" s="24"/>
      <c r="Z995" s="24"/>
      <c r="AA995" s="24"/>
      <c r="AB995" s="24"/>
    </row>
    <row r="996" spans="14:28" ht="15.75" customHeight="1">
      <c r="N996" s="24"/>
      <c r="O996" s="24"/>
      <c r="P996" s="24"/>
      <c r="Q996" s="24"/>
      <c r="R996" s="24"/>
      <c r="S996" s="24"/>
      <c r="T996" s="24"/>
      <c r="U996" s="24"/>
      <c r="V996" s="24"/>
      <c r="W996" s="24"/>
      <c r="X996" s="24"/>
      <c r="Y996" s="24"/>
      <c r="Z996" s="24"/>
      <c r="AA996" s="24"/>
      <c r="AB996" s="24"/>
    </row>
    <row r="997" spans="14:28" ht="15.75" customHeight="1">
      <c r="N997" s="24"/>
      <c r="O997" s="24"/>
      <c r="P997" s="24"/>
      <c r="Q997" s="24"/>
      <c r="R997" s="24"/>
      <c r="S997" s="24"/>
      <c r="T997" s="24"/>
      <c r="U997" s="24"/>
      <c r="V997" s="24"/>
      <c r="W997" s="24"/>
      <c r="X997" s="24"/>
      <c r="Y997" s="24"/>
      <c r="Z997" s="24"/>
      <c r="AA997" s="24"/>
      <c r="AB997" s="24"/>
    </row>
    <row r="998" spans="14:28" ht="15.75" customHeight="1">
      <c r="N998" s="24"/>
      <c r="O998" s="24"/>
      <c r="P998" s="24"/>
      <c r="Q998" s="24"/>
      <c r="R998" s="24"/>
      <c r="S998" s="24"/>
      <c r="T998" s="24"/>
      <c r="U998" s="24"/>
      <c r="V998" s="24"/>
      <c r="W998" s="24"/>
      <c r="X998" s="24"/>
      <c r="Y998" s="24"/>
      <c r="Z998" s="24"/>
      <c r="AA998" s="24"/>
      <c r="AB998" s="2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J1002"/>
  <sheetViews>
    <sheetView tabSelected="1" view="pageLayout" topLeftCell="A2" zoomScale="80" zoomScaleNormal="120" zoomScalePageLayoutView="80" workbookViewId="0">
      <selection activeCell="AD41" sqref="AD41"/>
    </sheetView>
  </sheetViews>
  <sheetFormatPr baseColWidth="10" defaultColWidth="14.42578125" defaultRowHeight="15" customHeight="1"/>
  <cols>
    <col min="1" max="39" width="3.42578125" customWidth="1"/>
    <col min="40" max="44" width="10.7109375" customWidth="1"/>
    <col min="45" max="45" width="7.85546875" customWidth="1"/>
    <col min="46" max="61" width="10.7109375" customWidth="1"/>
    <col min="62" max="62" width="15.5703125" customWidth="1"/>
  </cols>
  <sheetData>
    <row r="1" spans="1:62" s="35" customFormat="1" ht="15" hidden="1" customHeight="1">
      <c r="A1" s="171">
        <v>6</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row>
    <row r="2" spans="1:62" s="28" customFormat="1" ht="15" customHeight="1">
      <c r="A2" s="77" t="str">
        <f>+VLOOKUP(($A$1),Sumario!$A$2:$AW$41,6,(FALSE))</f>
        <v>2018LN-000002-0006000001</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9"/>
    </row>
    <row r="3" spans="1:62" ht="15" customHeight="1">
      <c r="A3" s="178" t="str">
        <f>+VLOOKUP(($A$1),Sumario!$A$2:$AW$41,7,(FALSE))</f>
        <v xml:space="preserve">Construcción de tres puentes sobre: la Quebrada Sube y Baja, Río Esperanza y Río Rempujo, Ruta Nacional No. 160, sección Garza - Nosara. </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89"/>
      <c r="AN3" s="2" t="s">
        <v>177</v>
      </c>
      <c r="AO3" s="1"/>
      <c r="AP3" s="1"/>
      <c r="AQ3" s="1"/>
      <c r="AR3" s="1"/>
      <c r="AS3" s="1"/>
      <c r="AZ3" s="3" t="s">
        <v>178</v>
      </c>
      <c r="BF3" s="3" t="s">
        <v>179</v>
      </c>
    </row>
    <row r="4" spans="1:62">
      <c r="A4" s="172">
        <f>+VLOOKUP(($A$1),Sumario!$A$2:$AW$41,18,(FALSE))</f>
        <v>1</v>
      </c>
      <c r="B4" s="173"/>
      <c r="C4" s="174"/>
      <c r="D4" s="1"/>
      <c r="E4" s="172">
        <f>+VLOOKUP(($A$1),Sumario!$A$2:$AW$41,20,(FALSE))</f>
        <v>0.73331064781364319</v>
      </c>
      <c r="F4" s="173"/>
      <c r="G4" s="174"/>
      <c r="H4" s="1"/>
      <c r="I4" s="172">
        <f>+VLOOKUP(($A$1),Sumario!$A$2:$AW$41,19,(FALSE))</f>
        <v>1.0000000155450584</v>
      </c>
      <c r="J4" s="173"/>
      <c r="K4" s="174"/>
      <c r="L4" s="1"/>
      <c r="M4" s="104">
        <f>+VLOOKUP(($A$1),Sumario!$A$2:$AW$41,14,(FALSE))</f>
        <v>1934.3767859900001</v>
      </c>
      <c r="N4" s="105"/>
      <c r="O4" s="106"/>
      <c r="P4" s="1"/>
      <c r="Q4" s="104">
        <f>+VLOOKUP(($A$1),Sumario!$A$2:$AW$41,21,(FALSE))</f>
        <v>3.0069999866100261E-5</v>
      </c>
      <c r="R4" s="105"/>
      <c r="S4" s="106"/>
      <c r="T4" s="1"/>
      <c r="U4" s="104">
        <f>+VLOOKUP(($A$1),Sumario!$A$2:$AW$41,22,(FALSE))</f>
        <v>515.87772201000007</v>
      </c>
      <c r="V4" s="105"/>
      <c r="W4" s="106"/>
      <c r="X4" s="1"/>
      <c r="Y4" s="98">
        <f>+VLOOKUP(($A$1),Sumario!$A$2:$AW$41,28,(FALSE))</f>
        <v>542.99999533648247</v>
      </c>
      <c r="Z4" s="99"/>
      <c r="AA4" s="100"/>
      <c r="AB4" s="1"/>
      <c r="AC4" s="98">
        <f>+VLOOKUP(($A$1),Sumario!$A$2:$AW$41,25,(FALSE))</f>
        <v>1.0000000155450584</v>
      </c>
      <c r="AD4" s="99"/>
      <c r="AE4" s="100"/>
      <c r="AF4" s="1"/>
      <c r="AG4" s="98">
        <f>+VLOOKUP(($A$1),Sumario!$A$2:$AW$41,26,(FALSE))</f>
        <v>1.3636785699574201</v>
      </c>
      <c r="AH4" s="99"/>
      <c r="AI4" s="100"/>
      <c r="AJ4" s="1"/>
      <c r="AK4" s="98">
        <f>+VLOOKUP(($A$1),Sumario!$A$2:$AW$41,27,(FALSE))</f>
        <v>-5.8289009848477012E-8</v>
      </c>
      <c r="AL4" s="99"/>
      <c r="AM4" s="100"/>
      <c r="AN4" s="1" t="s">
        <v>180</v>
      </c>
      <c r="AO4" s="1"/>
      <c r="AP4" s="1"/>
      <c r="AQ4" s="1"/>
      <c r="AR4" s="1"/>
      <c r="AS4" s="1"/>
      <c r="AT4" s="1" t="s">
        <v>181</v>
      </c>
      <c r="AU4" s="1"/>
      <c r="AV4" s="1"/>
      <c r="AW4" s="1"/>
      <c r="AX4" s="1"/>
      <c r="AY4" s="1"/>
    </row>
    <row r="5" spans="1:62">
      <c r="A5" s="175"/>
      <c r="B5" s="176"/>
      <c r="C5" s="177"/>
      <c r="D5" s="4"/>
      <c r="E5" s="175"/>
      <c r="F5" s="176"/>
      <c r="G5" s="177"/>
      <c r="H5" s="1"/>
      <c r="I5" s="175"/>
      <c r="J5" s="176"/>
      <c r="K5" s="177"/>
      <c r="L5" s="1"/>
      <c r="M5" s="107"/>
      <c r="N5" s="108"/>
      <c r="O5" s="109"/>
      <c r="P5" s="1"/>
      <c r="Q5" s="107"/>
      <c r="R5" s="108"/>
      <c r="S5" s="109"/>
      <c r="T5" s="1"/>
      <c r="U5" s="107"/>
      <c r="V5" s="108"/>
      <c r="W5" s="109"/>
      <c r="X5" s="1"/>
      <c r="Y5" s="101"/>
      <c r="Z5" s="102"/>
      <c r="AA5" s="103"/>
      <c r="AB5" s="1"/>
      <c r="AC5" s="101"/>
      <c r="AD5" s="102"/>
      <c r="AE5" s="103"/>
      <c r="AF5" s="1"/>
      <c r="AG5" s="101"/>
      <c r="AH5" s="102"/>
      <c r="AI5" s="103"/>
      <c r="AJ5" s="1"/>
      <c r="AK5" s="101"/>
      <c r="AL5" s="102"/>
      <c r="AM5" s="103"/>
      <c r="AN5" s="5" t="s">
        <v>189</v>
      </c>
      <c r="AO5" s="6" t="s">
        <v>182</v>
      </c>
      <c r="AP5" s="6" t="s">
        <v>183</v>
      </c>
      <c r="AQ5" s="6" t="s">
        <v>184</v>
      </c>
      <c r="AR5" s="6" t="s">
        <v>185</v>
      </c>
      <c r="AS5" s="7"/>
      <c r="AT5" s="5" t="s">
        <v>189</v>
      </c>
      <c r="AU5" s="6" t="s">
        <v>186</v>
      </c>
      <c r="AV5" s="6" t="s">
        <v>183</v>
      </c>
      <c r="AW5" s="6" t="s">
        <v>187</v>
      </c>
      <c r="AX5" s="6" t="s">
        <v>188</v>
      </c>
      <c r="AZ5" s="6" t="s">
        <v>189</v>
      </c>
      <c r="BA5" s="6" t="s">
        <v>190</v>
      </c>
      <c r="BB5" s="6" t="s">
        <v>191</v>
      </c>
      <c r="BC5" s="6" t="s">
        <v>192</v>
      </c>
      <c r="BD5" s="6" t="s">
        <v>193</v>
      </c>
      <c r="BF5" s="5" t="s">
        <v>189</v>
      </c>
      <c r="BG5" s="6" t="s">
        <v>194</v>
      </c>
      <c r="BH5" s="6" t="s">
        <v>183</v>
      </c>
      <c r="BI5" s="6" t="s">
        <v>195</v>
      </c>
      <c r="BJ5" s="6" t="s">
        <v>196</v>
      </c>
    </row>
    <row r="6" spans="1:62">
      <c r="A6" s="164" t="s">
        <v>197</v>
      </c>
      <c r="B6" s="91"/>
      <c r="C6" s="118"/>
      <c r="D6" s="1"/>
      <c r="E6" s="164" t="s">
        <v>198</v>
      </c>
      <c r="F6" s="91"/>
      <c r="G6" s="118"/>
      <c r="H6" s="1"/>
      <c r="I6" s="164" t="s">
        <v>199</v>
      </c>
      <c r="J6" s="91"/>
      <c r="K6" s="118"/>
      <c r="L6" s="1"/>
      <c r="M6" s="164" t="s">
        <v>200</v>
      </c>
      <c r="N6" s="91"/>
      <c r="O6" s="118"/>
      <c r="P6" s="1"/>
      <c r="Q6" s="164" t="s">
        <v>201</v>
      </c>
      <c r="R6" s="91"/>
      <c r="S6" s="118"/>
      <c r="T6" s="1"/>
      <c r="U6" s="164" t="s">
        <v>202</v>
      </c>
      <c r="V6" s="91"/>
      <c r="W6" s="118"/>
      <c r="X6" s="1"/>
      <c r="Y6" s="164" t="s">
        <v>193</v>
      </c>
      <c r="Z6" s="91"/>
      <c r="AA6" s="118"/>
      <c r="AB6" s="1"/>
      <c r="AC6" s="164" t="s">
        <v>190</v>
      </c>
      <c r="AD6" s="91"/>
      <c r="AE6" s="118"/>
      <c r="AF6" s="1"/>
      <c r="AG6" s="164" t="s">
        <v>191</v>
      </c>
      <c r="AH6" s="91"/>
      <c r="AI6" s="118"/>
      <c r="AJ6" s="1"/>
      <c r="AK6" s="164" t="s">
        <v>192</v>
      </c>
      <c r="AL6" s="91"/>
      <c r="AM6" s="118"/>
      <c r="AN6" s="15">
        <v>44884</v>
      </c>
      <c r="AO6" s="69">
        <f>AU6</f>
        <v>30.48</v>
      </c>
      <c r="AP6" s="69">
        <f t="shared" ref="AP6:AR6" si="0">+AV6</f>
        <v>8.7200000000000006</v>
      </c>
      <c r="AQ6" s="69">
        <f t="shared" si="0"/>
        <v>0</v>
      </c>
      <c r="AR6" s="69">
        <f t="shared" si="0"/>
        <v>0</v>
      </c>
      <c r="AT6" s="15">
        <v>44884</v>
      </c>
      <c r="AU6" s="69">
        <v>30.48</v>
      </c>
      <c r="AV6" s="69">
        <v>8.7200000000000006</v>
      </c>
      <c r="AW6" s="69">
        <v>0</v>
      </c>
      <c r="AX6" s="69">
        <v>0</v>
      </c>
      <c r="AZ6" s="15">
        <v>44884</v>
      </c>
      <c r="BA6" s="8"/>
      <c r="BB6" s="8"/>
      <c r="BC6" s="8"/>
      <c r="BD6" s="8"/>
      <c r="BF6" s="47">
        <f>+AT46</f>
        <v>45008</v>
      </c>
      <c r="BG6" s="16">
        <f>+AO46</f>
        <v>0</v>
      </c>
      <c r="BH6" s="16">
        <f t="shared" ref="BH6:BJ8" si="1">+AP46</f>
        <v>1934.3700000000001</v>
      </c>
      <c r="BI6" s="16">
        <f t="shared" si="1"/>
        <v>1161.67</v>
      </c>
      <c r="BJ6" s="16">
        <f t="shared" si="1"/>
        <v>1323.49</v>
      </c>
    </row>
    <row r="7" spans="1:62" ht="15.75"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5">
        <v>44914</v>
      </c>
      <c r="AO7" s="69">
        <f>+AO6+AU7</f>
        <v>176.51999999999998</v>
      </c>
      <c r="AP7" s="69">
        <f t="shared" ref="AP7:AR7" si="2">+AP6+AV7</f>
        <v>30.11</v>
      </c>
      <c r="AQ7" s="69">
        <f t="shared" si="2"/>
        <v>0</v>
      </c>
      <c r="AR7" s="69">
        <f t="shared" si="2"/>
        <v>19.59</v>
      </c>
      <c r="AT7" s="15">
        <v>44914</v>
      </c>
      <c r="AU7" s="69">
        <v>146.04</v>
      </c>
      <c r="AV7" s="69">
        <v>21.39</v>
      </c>
      <c r="AW7" s="69">
        <v>0</v>
      </c>
      <c r="AX7" s="69">
        <v>19.59</v>
      </c>
      <c r="AZ7" s="15">
        <v>44914</v>
      </c>
      <c r="BA7" s="8"/>
      <c r="BB7" s="8"/>
      <c r="BC7" s="8"/>
      <c r="BD7" s="8"/>
      <c r="BF7" s="47">
        <f>+AT47</f>
        <v>45039</v>
      </c>
      <c r="BG7" s="16">
        <f t="shared" ref="BG7:BG8" si="3">+AO47</f>
        <v>0</v>
      </c>
      <c r="BH7" s="16">
        <f t="shared" si="1"/>
        <v>1934.3700000000001</v>
      </c>
      <c r="BI7" s="16">
        <f t="shared" si="1"/>
        <v>1237.51</v>
      </c>
      <c r="BJ7" s="16">
        <f t="shared" si="1"/>
        <v>1373.49</v>
      </c>
    </row>
    <row r="8" spans="1:62">
      <c r="A8" s="80" t="s">
        <v>203</v>
      </c>
      <c r="B8" s="83" t="s">
        <v>204</v>
      </c>
      <c r="C8" s="84"/>
      <c r="D8" s="84"/>
      <c r="E8" s="84"/>
      <c r="F8" s="85"/>
      <c r="G8" s="86">
        <f>+VLOOKUP(($A$1),Sumario!$A$2:$AW$41,30,(FALSE))</f>
        <v>43782</v>
      </c>
      <c r="H8" s="84"/>
      <c r="I8" s="87"/>
      <c r="J8" s="168">
        <f>G15/G13</f>
        <v>0.52427184466019416</v>
      </c>
      <c r="K8" s="121"/>
      <c r="L8" s="1"/>
      <c r="M8" s="1"/>
      <c r="N8" s="1"/>
      <c r="O8" s="1"/>
      <c r="P8" s="1"/>
      <c r="Q8" s="1"/>
      <c r="R8" s="1"/>
      <c r="S8" s="1"/>
      <c r="T8" s="1"/>
      <c r="U8" s="1"/>
      <c r="V8" s="1"/>
      <c r="W8" s="1"/>
      <c r="X8" s="1"/>
      <c r="Y8" s="1"/>
      <c r="Z8" s="1"/>
      <c r="AA8" s="1"/>
      <c r="AB8" s="1"/>
      <c r="AC8" s="1"/>
      <c r="AD8" s="1"/>
      <c r="AE8" s="1"/>
      <c r="AF8" s="1"/>
      <c r="AG8" s="1"/>
      <c r="AH8" s="1"/>
      <c r="AI8" s="1"/>
      <c r="AJ8" s="1"/>
      <c r="AK8" s="1"/>
      <c r="AL8" s="1"/>
      <c r="AM8" s="1"/>
      <c r="AN8" s="15">
        <v>44581</v>
      </c>
      <c r="AO8" s="69">
        <f t="shared" ref="AO8:AO47" si="4">+AO7+AU8</f>
        <v>267.91999999999996</v>
      </c>
      <c r="AP8" s="69">
        <f t="shared" ref="AP8:AP47" si="5">+AP7+AV8</f>
        <v>56.67</v>
      </c>
      <c r="AQ8" s="69">
        <f t="shared" ref="AQ8:AQ47" si="6">+AQ7+AW8</f>
        <v>0</v>
      </c>
      <c r="AR8" s="69">
        <f t="shared" ref="AR8:AR47" si="7">+AR7+AX8</f>
        <v>66.75</v>
      </c>
      <c r="AT8" s="15">
        <v>44581</v>
      </c>
      <c r="AU8" s="69">
        <v>91.4</v>
      </c>
      <c r="AV8" s="69">
        <v>26.56</v>
      </c>
      <c r="AW8" s="69">
        <v>0</v>
      </c>
      <c r="AX8" s="69">
        <v>47.16</v>
      </c>
      <c r="AZ8" s="15">
        <v>44581</v>
      </c>
      <c r="BA8" s="8"/>
      <c r="BB8" s="8"/>
      <c r="BC8" s="8"/>
      <c r="BD8" s="8"/>
      <c r="BF8" s="47">
        <f>+AT48</f>
        <v>45069</v>
      </c>
      <c r="BG8" s="16">
        <f t="shared" si="3"/>
        <v>0</v>
      </c>
      <c r="BH8" s="16">
        <f t="shared" si="1"/>
        <v>1934.3700000000001</v>
      </c>
      <c r="BI8" s="16">
        <f t="shared" si="1"/>
        <v>1313.35</v>
      </c>
      <c r="BJ8" s="16">
        <f t="shared" si="1"/>
        <v>1423.49</v>
      </c>
    </row>
    <row r="9" spans="1:62">
      <c r="A9" s="81"/>
      <c r="B9" s="90" t="s">
        <v>205</v>
      </c>
      <c r="C9" s="91"/>
      <c r="D9" s="91"/>
      <c r="E9" s="91"/>
      <c r="F9" s="92"/>
      <c r="G9" s="93">
        <f>+VLOOKUP(($A$1),Sumario!$A$2:$AW$41,31,(FALSE))</f>
        <v>300</v>
      </c>
      <c r="H9" s="92"/>
      <c r="I9" s="9" t="s">
        <v>206</v>
      </c>
      <c r="J9" s="169"/>
      <c r="K9" s="123"/>
      <c r="L9" s="1"/>
      <c r="M9" s="1"/>
      <c r="N9" s="1"/>
      <c r="O9" s="1"/>
      <c r="P9" s="1"/>
      <c r="Q9" s="1"/>
      <c r="R9" s="1"/>
      <c r="S9" s="1"/>
      <c r="T9" s="1"/>
      <c r="U9" s="1"/>
      <c r="V9" s="1"/>
      <c r="W9" s="1"/>
      <c r="X9" s="1"/>
      <c r="Y9" s="1"/>
      <c r="Z9" s="1"/>
      <c r="AA9" s="1"/>
      <c r="AB9" s="1"/>
      <c r="AC9" s="1"/>
      <c r="AD9" s="1"/>
      <c r="AE9" s="1"/>
      <c r="AF9" s="1"/>
      <c r="AG9" s="1"/>
      <c r="AH9" s="1"/>
      <c r="AI9" s="1"/>
      <c r="AJ9" s="1"/>
      <c r="AK9" s="1"/>
      <c r="AL9" s="1"/>
      <c r="AM9" s="1"/>
      <c r="AN9" s="15">
        <v>44612</v>
      </c>
      <c r="AO9" s="69">
        <f t="shared" si="4"/>
        <v>482.28</v>
      </c>
      <c r="AP9" s="69">
        <f t="shared" si="5"/>
        <v>77.03</v>
      </c>
      <c r="AQ9" s="69">
        <f t="shared" si="6"/>
        <v>0</v>
      </c>
      <c r="AR9" s="69">
        <f t="shared" si="7"/>
        <v>106.33</v>
      </c>
      <c r="AT9" s="15">
        <v>44612</v>
      </c>
      <c r="AU9" s="69">
        <v>214.36</v>
      </c>
      <c r="AV9" s="69">
        <v>20.36</v>
      </c>
      <c r="AW9" s="69">
        <v>0</v>
      </c>
      <c r="AX9" s="69">
        <v>39.58</v>
      </c>
      <c r="AZ9" s="15">
        <v>44612</v>
      </c>
      <c r="BA9" s="8"/>
      <c r="BB9" s="8"/>
      <c r="BC9" s="8"/>
      <c r="BD9" s="8"/>
    </row>
    <row r="10" spans="1:62">
      <c r="A10" s="81"/>
      <c r="B10" s="90" t="s">
        <v>207</v>
      </c>
      <c r="C10" s="91"/>
      <c r="D10" s="91"/>
      <c r="E10" s="91"/>
      <c r="F10" s="92"/>
      <c r="G10" s="93">
        <f>+VLOOKUP(($A$1),Sumario!$A$2:$AW$41,42,(FALSE))</f>
        <v>243</v>
      </c>
      <c r="H10" s="92"/>
      <c r="I10" s="9" t="s">
        <v>206</v>
      </c>
      <c r="J10" s="169"/>
      <c r="K10" s="1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5">
        <v>44640</v>
      </c>
      <c r="AO10" s="69">
        <f t="shared" si="4"/>
        <v>597.44999999999993</v>
      </c>
      <c r="AP10" s="69">
        <f t="shared" si="5"/>
        <v>83.55</v>
      </c>
      <c r="AQ10" s="69">
        <f t="shared" si="6"/>
        <v>66.75</v>
      </c>
      <c r="AR10" s="69">
        <f t="shared" si="7"/>
        <v>122.02</v>
      </c>
      <c r="AT10" s="15">
        <v>44640</v>
      </c>
      <c r="AU10" s="69">
        <v>115.17</v>
      </c>
      <c r="AV10" s="69">
        <v>6.52</v>
      </c>
      <c r="AW10" s="69">
        <v>66.75</v>
      </c>
      <c r="AX10" s="69">
        <v>15.69</v>
      </c>
      <c r="AZ10" s="15">
        <v>44640</v>
      </c>
      <c r="BA10" s="8"/>
      <c r="BB10" s="8"/>
      <c r="BC10" s="8"/>
      <c r="BD10" s="8"/>
    </row>
    <row r="11" spans="1:62">
      <c r="A11" s="81"/>
      <c r="B11" s="90" t="s">
        <v>208</v>
      </c>
      <c r="C11" s="91"/>
      <c r="D11" s="91"/>
      <c r="E11" s="91"/>
      <c r="F11" s="92"/>
      <c r="G11" s="88">
        <f>+VLOOKUP(($A$1),Sumario!$A$2:$AZ$41,51,(FALSE))</f>
        <v>737</v>
      </c>
      <c r="H11" s="89"/>
      <c r="I11" s="10" t="s">
        <v>206</v>
      </c>
      <c r="J11" s="169"/>
      <c r="K11" s="1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5">
        <v>44671</v>
      </c>
      <c r="AO11" s="69">
        <f t="shared" si="4"/>
        <v>927.31</v>
      </c>
      <c r="AP11" s="69">
        <f t="shared" si="5"/>
        <v>83.55</v>
      </c>
      <c r="AQ11" s="69">
        <f t="shared" si="6"/>
        <v>122.02</v>
      </c>
      <c r="AR11" s="69">
        <f t="shared" si="7"/>
        <v>122.02</v>
      </c>
      <c r="AT11" s="15">
        <v>44671</v>
      </c>
      <c r="AU11" s="69">
        <v>329.86</v>
      </c>
      <c r="AV11" s="69">
        <v>0</v>
      </c>
      <c r="AW11" s="69">
        <v>55.269999999999996</v>
      </c>
      <c r="AX11" s="69">
        <v>0</v>
      </c>
      <c r="AZ11" s="15">
        <v>44671</v>
      </c>
      <c r="BA11" s="8"/>
      <c r="BB11" s="8"/>
      <c r="BC11" s="8"/>
      <c r="BD11" s="8"/>
    </row>
    <row r="12" spans="1:62">
      <c r="A12" s="81"/>
      <c r="B12" s="90" t="s">
        <v>209</v>
      </c>
      <c r="C12" s="91"/>
      <c r="D12" s="91"/>
      <c r="E12" s="91"/>
      <c r="F12" s="92"/>
      <c r="G12" s="93">
        <f>+VLOOKUP(($A$1),Sumario!$A$2:$AW$41,43,(FALSE))</f>
        <v>75</v>
      </c>
      <c r="H12" s="92"/>
      <c r="I12" s="9" t="s">
        <v>206</v>
      </c>
      <c r="J12" s="169"/>
      <c r="K12" s="1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5">
        <v>44701</v>
      </c>
      <c r="AO12" s="69">
        <f t="shared" si="4"/>
        <v>1025.6599999999999</v>
      </c>
      <c r="AP12" s="69">
        <f t="shared" si="5"/>
        <v>83.55</v>
      </c>
      <c r="AQ12" s="69">
        <f t="shared" si="6"/>
        <v>122.02</v>
      </c>
      <c r="AR12" s="69">
        <f t="shared" si="7"/>
        <v>122.02</v>
      </c>
      <c r="AT12" s="15">
        <v>44701</v>
      </c>
      <c r="AU12" s="69">
        <v>98.35</v>
      </c>
      <c r="AV12" s="69">
        <v>0</v>
      </c>
      <c r="AW12" s="69">
        <v>0</v>
      </c>
      <c r="AX12" s="69">
        <v>0</v>
      </c>
      <c r="AZ12" s="15">
        <v>44701</v>
      </c>
      <c r="BA12" s="8"/>
      <c r="BB12" s="8"/>
      <c r="BC12" s="8"/>
      <c r="BD12" s="8"/>
    </row>
    <row r="13" spans="1:62">
      <c r="A13" s="81"/>
      <c r="B13" s="90" t="s">
        <v>210</v>
      </c>
      <c r="C13" s="91"/>
      <c r="D13" s="91"/>
      <c r="E13" s="91"/>
      <c r="F13" s="92"/>
      <c r="G13" s="94">
        <f>+VLOOKUP(($A$1),Sumario!$A$2:$AW$41,44,(FALSE))</f>
        <v>618</v>
      </c>
      <c r="H13" s="95"/>
      <c r="I13" s="37" t="s">
        <v>206</v>
      </c>
      <c r="J13" s="169"/>
      <c r="K13" s="12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5">
        <v>44732</v>
      </c>
      <c r="AO13" s="69">
        <f t="shared" si="4"/>
        <v>1219.2299999999998</v>
      </c>
      <c r="AP13" s="69">
        <f t="shared" si="5"/>
        <v>83.55</v>
      </c>
      <c r="AQ13" s="69">
        <f t="shared" si="6"/>
        <v>122.02</v>
      </c>
      <c r="AR13" s="69">
        <f t="shared" si="7"/>
        <v>122.02</v>
      </c>
      <c r="AT13" s="15">
        <v>44732</v>
      </c>
      <c r="AU13" s="69">
        <v>193.57</v>
      </c>
      <c r="AV13" s="69">
        <v>0</v>
      </c>
      <c r="AW13" s="69">
        <v>0</v>
      </c>
      <c r="AX13" s="69">
        <v>0</v>
      </c>
      <c r="AZ13" s="15">
        <v>44732</v>
      </c>
      <c r="BA13" s="8"/>
      <c r="BB13" s="8"/>
      <c r="BC13" s="8"/>
      <c r="BD13" s="8"/>
    </row>
    <row r="14" spans="1:62">
      <c r="A14" s="81"/>
      <c r="B14" s="90" t="s">
        <v>211</v>
      </c>
      <c r="C14" s="91"/>
      <c r="D14" s="91"/>
      <c r="E14" s="91"/>
      <c r="F14" s="92"/>
      <c r="G14" s="96">
        <f>+VLOOKUP(($A$1),Sumario!$A$2:$AZ$41,50,(FALSE))</f>
        <v>45019</v>
      </c>
      <c r="H14" s="97"/>
      <c r="I14" s="97"/>
      <c r="J14" s="163"/>
      <c r="K14" s="17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5">
        <v>44762</v>
      </c>
      <c r="AO14" s="69">
        <f t="shared" si="4"/>
        <v>1246.0299999999997</v>
      </c>
      <c r="AP14" s="69">
        <f t="shared" si="5"/>
        <v>91.31</v>
      </c>
      <c r="AQ14" s="69">
        <f t="shared" si="6"/>
        <v>122.02</v>
      </c>
      <c r="AR14" s="69">
        <f t="shared" si="7"/>
        <v>129.78</v>
      </c>
      <c r="AT14" s="15">
        <v>44762</v>
      </c>
      <c r="AU14" s="69">
        <v>26.8</v>
      </c>
      <c r="AV14" s="69">
        <v>7.76</v>
      </c>
      <c r="AW14" s="69">
        <v>0</v>
      </c>
      <c r="AX14" s="69">
        <v>7.76</v>
      </c>
      <c r="AZ14" s="15">
        <v>44762</v>
      </c>
      <c r="BA14" s="8"/>
      <c r="BB14" s="8"/>
      <c r="BC14" s="8"/>
      <c r="BD14" s="8"/>
    </row>
    <row r="15" spans="1:62" ht="15" customHeight="1">
      <c r="A15" s="81"/>
      <c r="B15" s="161" t="s">
        <v>212</v>
      </c>
      <c r="C15" s="91"/>
      <c r="D15" s="91"/>
      <c r="E15" s="91"/>
      <c r="F15" s="92"/>
      <c r="G15" s="162">
        <f>+VLOOKUP(($A$1),Sumario!$A$2:$AW$41,45,(FALSE))</f>
        <v>324</v>
      </c>
      <c r="H15" s="163"/>
      <c r="I15" s="38" t="s">
        <v>206</v>
      </c>
      <c r="J15" s="110" t="s">
        <v>213</v>
      </c>
      <c r="K15" s="11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5">
        <v>44793</v>
      </c>
      <c r="AO15" s="69">
        <f t="shared" si="4"/>
        <v>1291.3199999999997</v>
      </c>
      <c r="AP15" s="69">
        <f t="shared" si="5"/>
        <v>91.31</v>
      </c>
      <c r="AQ15" s="69">
        <f t="shared" si="6"/>
        <v>122.02</v>
      </c>
      <c r="AR15" s="69">
        <f t="shared" si="7"/>
        <v>129.78</v>
      </c>
      <c r="AT15" s="15">
        <v>44793</v>
      </c>
      <c r="AU15" s="69">
        <v>45.29</v>
      </c>
      <c r="AV15" s="69">
        <v>0</v>
      </c>
      <c r="AW15" s="69">
        <v>0</v>
      </c>
      <c r="AX15" s="69">
        <v>0</v>
      </c>
      <c r="AZ15" s="15">
        <v>44793</v>
      </c>
      <c r="BA15" s="8"/>
      <c r="BB15" s="8"/>
      <c r="BC15" s="8"/>
      <c r="BD15" s="8"/>
    </row>
    <row r="16" spans="1:62" ht="15.75" thickBot="1">
      <c r="A16" s="82"/>
      <c r="B16" s="114" t="s">
        <v>214</v>
      </c>
      <c r="C16" s="115"/>
      <c r="D16" s="115"/>
      <c r="E16" s="115"/>
      <c r="F16" s="116"/>
      <c r="G16" s="165">
        <f>+VLOOKUP(($A$1),Sumario!$A$2:$AW$41,32,(FALSE))</f>
        <v>45139</v>
      </c>
      <c r="H16" s="166"/>
      <c r="I16" s="167"/>
      <c r="J16" s="112"/>
      <c r="K16" s="1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7" t="s">
        <v>227</v>
      </c>
      <c r="AO16" s="69"/>
      <c r="AP16" s="69">
        <f t="shared" si="5"/>
        <v>91.31</v>
      </c>
      <c r="AQ16" s="69">
        <f t="shared" si="6"/>
        <v>129.78</v>
      </c>
      <c r="AR16" s="69">
        <f t="shared" si="7"/>
        <v>129.78</v>
      </c>
      <c r="AT16" s="17" t="s">
        <v>227</v>
      </c>
      <c r="AU16" s="69">
        <v>0</v>
      </c>
      <c r="AV16" s="69">
        <v>0</v>
      </c>
      <c r="AW16" s="69">
        <v>7.76</v>
      </c>
      <c r="AX16" s="69">
        <v>0</v>
      </c>
      <c r="AZ16" s="17" t="s">
        <v>227</v>
      </c>
      <c r="BA16" s="8"/>
      <c r="BB16" s="8"/>
      <c r="BC16" s="8"/>
      <c r="BD16" s="8"/>
    </row>
    <row r="17" spans="1:56" ht="15.75" thickBo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5">
        <v>44854</v>
      </c>
      <c r="AO17" s="69">
        <f t="shared" si="4"/>
        <v>0</v>
      </c>
      <c r="AP17" s="69">
        <f t="shared" si="5"/>
        <v>91.31</v>
      </c>
      <c r="AQ17" s="69">
        <f t="shared" si="6"/>
        <v>129.78</v>
      </c>
      <c r="AR17" s="69">
        <f t="shared" si="7"/>
        <v>129.78</v>
      </c>
      <c r="AT17" s="15">
        <v>44854</v>
      </c>
      <c r="AU17" s="69">
        <v>0</v>
      </c>
      <c r="AV17" s="69">
        <v>0</v>
      </c>
      <c r="AW17" s="69">
        <v>0</v>
      </c>
      <c r="AX17" s="69">
        <v>0</v>
      </c>
      <c r="AZ17" s="15">
        <v>44854</v>
      </c>
      <c r="BA17" s="8"/>
      <c r="BB17" s="8"/>
      <c r="BC17" s="8"/>
      <c r="BD17" s="8"/>
    </row>
    <row r="18" spans="1:56">
      <c r="A18" s="134" t="s">
        <v>215</v>
      </c>
      <c r="B18" s="137" t="s">
        <v>216</v>
      </c>
      <c r="C18" s="138"/>
      <c r="D18" s="138"/>
      <c r="E18" s="138"/>
      <c r="F18" s="138"/>
      <c r="G18" s="148">
        <f>+VLOOKUP(($A$1),Sumario!$A$2:$AW$41,12,(FALSE))</f>
        <v>1291327558.9100001</v>
      </c>
      <c r="H18" s="149"/>
      <c r="I18" s="150"/>
      <c r="J18" s="139">
        <f>G22/G21</f>
        <v>0.64973025201361034</v>
      </c>
      <c r="K18" s="14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5">
        <v>44885</v>
      </c>
      <c r="AO18" s="69">
        <f t="shared" si="4"/>
        <v>0</v>
      </c>
      <c r="AP18" s="69">
        <f t="shared" si="5"/>
        <v>91.31</v>
      </c>
      <c r="AQ18" s="69">
        <f t="shared" si="6"/>
        <v>129.78</v>
      </c>
      <c r="AR18" s="69">
        <f t="shared" si="7"/>
        <v>129.78</v>
      </c>
      <c r="AT18" s="15">
        <v>44885</v>
      </c>
      <c r="AU18" s="69">
        <v>0</v>
      </c>
      <c r="AV18" s="69">
        <v>0</v>
      </c>
      <c r="AW18" s="69">
        <v>0</v>
      </c>
      <c r="AX18" s="69">
        <v>0</v>
      </c>
      <c r="AZ18" s="15">
        <v>44885</v>
      </c>
      <c r="BA18" s="8"/>
      <c r="BB18" s="8"/>
      <c r="BC18" s="8"/>
      <c r="BD18" s="8"/>
    </row>
    <row r="19" spans="1:56">
      <c r="A19" s="135"/>
      <c r="B19" s="90" t="s">
        <v>217</v>
      </c>
      <c r="C19" s="92"/>
      <c r="D19" s="92"/>
      <c r="E19" s="92"/>
      <c r="F19" s="92"/>
      <c r="G19" s="145">
        <f>+VLOOKUP(($A$1),Sumario!$A$2:$AW$41,35,(FALSE))</f>
        <v>643049227.08000004</v>
      </c>
      <c r="H19" s="146"/>
      <c r="I19" s="147"/>
      <c r="J19" s="141"/>
      <c r="K19" s="14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5">
        <v>44915</v>
      </c>
      <c r="AO19" s="69">
        <f t="shared" si="4"/>
        <v>0</v>
      </c>
      <c r="AP19" s="69">
        <f t="shared" si="5"/>
        <v>91.31</v>
      </c>
      <c r="AQ19" s="69">
        <f t="shared" si="6"/>
        <v>129.78</v>
      </c>
      <c r="AR19" s="69">
        <f t="shared" si="7"/>
        <v>129.78</v>
      </c>
      <c r="AT19" s="15">
        <v>44915</v>
      </c>
      <c r="AU19" s="69">
        <v>0</v>
      </c>
      <c r="AV19" s="69">
        <v>0</v>
      </c>
      <c r="AW19" s="69">
        <v>0</v>
      </c>
      <c r="AX19" s="69">
        <v>0</v>
      </c>
      <c r="AZ19" s="15">
        <v>44915</v>
      </c>
      <c r="BA19" s="8"/>
      <c r="BB19" s="8"/>
      <c r="BC19" s="8"/>
      <c r="BD19" s="8"/>
    </row>
    <row r="20" spans="1:56">
      <c r="A20" s="135"/>
      <c r="B20" s="90" t="s">
        <v>218</v>
      </c>
      <c r="C20" s="92"/>
      <c r="D20" s="92"/>
      <c r="E20" s="92"/>
      <c r="F20" s="92"/>
      <c r="G20" s="145">
        <f>+VLOOKUP(($A$1),Sumario!$A$2:$AW$41,37,(FALSE))</f>
        <v>248835538.90000001</v>
      </c>
      <c r="H20" s="146"/>
      <c r="I20" s="147"/>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5">
        <v>44582</v>
      </c>
      <c r="AO20" s="69">
        <f t="shared" si="4"/>
        <v>0</v>
      </c>
      <c r="AP20" s="69">
        <f t="shared" si="5"/>
        <v>91.31</v>
      </c>
      <c r="AQ20" s="69">
        <f t="shared" si="6"/>
        <v>129.78</v>
      </c>
      <c r="AR20" s="69">
        <f t="shared" si="7"/>
        <v>129.78</v>
      </c>
      <c r="AT20" s="15">
        <v>44582</v>
      </c>
      <c r="AU20" s="69">
        <v>0</v>
      </c>
      <c r="AV20" s="69">
        <v>0</v>
      </c>
      <c r="AW20" s="69">
        <v>0</v>
      </c>
      <c r="AX20" s="69">
        <v>0</v>
      </c>
      <c r="AZ20" s="15">
        <v>44582</v>
      </c>
      <c r="BA20" s="8"/>
      <c r="BB20" s="8"/>
      <c r="BC20" s="8"/>
      <c r="BD20" s="8"/>
    </row>
    <row r="21" spans="1:56">
      <c r="A21" s="135"/>
      <c r="B21" s="161" t="s">
        <v>219</v>
      </c>
      <c r="C21" s="92"/>
      <c r="D21" s="92"/>
      <c r="E21" s="92"/>
      <c r="F21" s="92"/>
      <c r="G21" s="160">
        <f>+G18+G19+G20</f>
        <v>2183212324.8900003</v>
      </c>
      <c r="H21" s="146"/>
      <c r="I21" s="147"/>
      <c r="J21" s="143"/>
      <c r="K21" s="14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5">
        <v>44613</v>
      </c>
      <c r="AO21" s="69">
        <f t="shared" si="4"/>
        <v>0</v>
      </c>
      <c r="AP21" s="69">
        <f t="shared" si="5"/>
        <v>91.31</v>
      </c>
      <c r="AQ21" s="69">
        <f t="shared" si="6"/>
        <v>129.78</v>
      </c>
      <c r="AR21" s="69">
        <f t="shared" si="7"/>
        <v>129.78</v>
      </c>
      <c r="AT21" s="15">
        <v>44613</v>
      </c>
      <c r="AU21" s="69">
        <v>0</v>
      </c>
      <c r="AV21" s="69">
        <v>0</v>
      </c>
      <c r="AW21" s="69">
        <v>0</v>
      </c>
      <c r="AX21" s="69">
        <v>0</v>
      </c>
      <c r="AZ21" s="15">
        <v>44613</v>
      </c>
      <c r="BA21" s="8"/>
      <c r="BB21" s="8"/>
      <c r="BC21" s="8"/>
      <c r="BD21" s="8"/>
    </row>
    <row r="22" spans="1:56">
      <c r="A22" s="135"/>
      <c r="B22" s="161" t="s">
        <v>220</v>
      </c>
      <c r="C22" s="92"/>
      <c r="D22" s="92"/>
      <c r="E22" s="92"/>
      <c r="F22" s="92"/>
      <c r="G22" s="160">
        <f>+VLOOKUP(($A$1),Sumario!$A$2:$AW$41,39,(FALSE))</f>
        <v>1418499094.05</v>
      </c>
      <c r="H22" s="146"/>
      <c r="I22" s="147"/>
      <c r="J22" s="151" t="s">
        <v>221</v>
      </c>
      <c r="K22" s="1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5">
        <v>44641</v>
      </c>
      <c r="AO22" s="69">
        <f t="shared" si="4"/>
        <v>0</v>
      </c>
      <c r="AP22" s="69">
        <f t="shared" si="5"/>
        <v>91.31</v>
      </c>
      <c r="AQ22" s="69">
        <f t="shared" si="6"/>
        <v>129.78</v>
      </c>
      <c r="AR22" s="69">
        <f t="shared" si="7"/>
        <v>129.78</v>
      </c>
      <c r="AT22" s="15">
        <v>44641</v>
      </c>
      <c r="AU22" s="69">
        <v>0</v>
      </c>
      <c r="AV22" s="69">
        <v>0</v>
      </c>
      <c r="AW22" s="69">
        <v>0</v>
      </c>
      <c r="AX22" s="69">
        <v>0</v>
      </c>
      <c r="AZ22" s="15">
        <v>44641</v>
      </c>
      <c r="BA22" s="41"/>
      <c r="BB22" s="41"/>
      <c r="BC22" s="41"/>
      <c r="BD22" s="41"/>
    </row>
    <row r="23" spans="1:56" ht="15.75" customHeight="1" thickBot="1">
      <c r="A23" s="136"/>
      <c r="B23" s="155" t="s">
        <v>222</v>
      </c>
      <c r="C23" s="156"/>
      <c r="D23" s="156"/>
      <c r="E23" s="156"/>
      <c r="F23" s="156"/>
      <c r="G23" s="157">
        <f>+VLOOKUP(($A$1),Sumario!$A$2:$AZ$41,52,(FALSE))</f>
        <v>62368857.829999998</v>
      </c>
      <c r="H23" s="158"/>
      <c r="I23" s="159"/>
      <c r="J23" s="153"/>
      <c r="K23" s="15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5">
        <v>44672</v>
      </c>
      <c r="AO23" s="69">
        <f t="shared" si="4"/>
        <v>0</v>
      </c>
      <c r="AP23" s="69">
        <f t="shared" si="5"/>
        <v>91.31</v>
      </c>
      <c r="AQ23" s="69">
        <f t="shared" si="6"/>
        <v>129.78</v>
      </c>
      <c r="AR23" s="69">
        <f t="shared" si="7"/>
        <v>129.78</v>
      </c>
      <c r="AT23" s="15">
        <v>44672</v>
      </c>
      <c r="AU23" s="69">
        <v>0</v>
      </c>
      <c r="AV23" s="69">
        <v>0</v>
      </c>
      <c r="AW23" s="69">
        <v>0</v>
      </c>
      <c r="AX23" s="69">
        <v>0</v>
      </c>
      <c r="AZ23" s="39">
        <v>44672</v>
      </c>
      <c r="BA23" s="8"/>
      <c r="BB23" s="8"/>
      <c r="BC23" s="8"/>
      <c r="BD23" s="8"/>
    </row>
    <row r="24" spans="1:56" ht="15.75" customHeight="1"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5">
        <v>44702</v>
      </c>
      <c r="AO24" s="69">
        <f t="shared" si="4"/>
        <v>0</v>
      </c>
      <c r="AP24" s="69">
        <f t="shared" si="5"/>
        <v>91.31</v>
      </c>
      <c r="AQ24" s="69">
        <f t="shared" si="6"/>
        <v>129.78</v>
      </c>
      <c r="AR24" s="69">
        <f t="shared" si="7"/>
        <v>129.78</v>
      </c>
      <c r="AT24" s="15">
        <v>44702</v>
      </c>
      <c r="AU24" s="69">
        <v>0</v>
      </c>
      <c r="AV24" s="69">
        <v>0</v>
      </c>
      <c r="AW24" s="69">
        <v>0</v>
      </c>
      <c r="AX24" s="69">
        <v>0</v>
      </c>
      <c r="AZ24" s="39">
        <v>44702</v>
      </c>
      <c r="BA24" s="8"/>
      <c r="BB24" s="8"/>
      <c r="BC24" s="8"/>
      <c r="BD24" s="8"/>
    </row>
    <row r="25" spans="1:56" ht="15" customHeight="1" thickBot="1">
      <c r="A25" s="83" t="s">
        <v>223</v>
      </c>
      <c r="B25" s="84"/>
      <c r="C25" s="84"/>
      <c r="D25" s="87"/>
      <c r="E25" s="117" t="str">
        <f>+VLOOKUP(($A$1),Sumario!$A$2:$AZ$41,4,(FALSE))</f>
        <v>Fondo Vial</v>
      </c>
      <c r="F25" s="91"/>
      <c r="G25" s="91"/>
      <c r="H25" s="91"/>
      <c r="I25" s="91"/>
      <c r="J25" s="91"/>
      <c r="K25" s="118"/>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5">
        <v>44733</v>
      </c>
      <c r="AO25" s="69">
        <f t="shared" si="4"/>
        <v>0</v>
      </c>
      <c r="AP25" s="69">
        <f t="shared" si="5"/>
        <v>91.31</v>
      </c>
      <c r="AQ25" s="69">
        <f t="shared" si="6"/>
        <v>129.78</v>
      </c>
      <c r="AR25" s="69">
        <f t="shared" si="7"/>
        <v>129.78</v>
      </c>
      <c r="AT25" s="15">
        <v>44733</v>
      </c>
      <c r="AU25" s="69">
        <v>0</v>
      </c>
      <c r="AV25" s="69">
        <v>0</v>
      </c>
      <c r="AW25" s="69">
        <v>0</v>
      </c>
      <c r="AX25" s="69">
        <v>0</v>
      </c>
      <c r="AZ25" s="39">
        <v>44733</v>
      </c>
      <c r="BA25" s="8"/>
      <c r="BB25" s="8"/>
      <c r="BC25" s="8"/>
      <c r="BD25" s="8"/>
    </row>
    <row r="26" spans="1:56" ht="15" customHeight="1">
      <c r="A26" s="83" t="s">
        <v>224</v>
      </c>
      <c r="B26" s="84"/>
      <c r="C26" s="84"/>
      <c r="D26" s="87"/>
      <c r="E26" s="117" t="str">
        <f>+VLOOKUP(($A$1),Sumario!$A$2:$AZ$41,11,(FALSE))</f>
        <v>CODOCSA S.A.</v>
      </c>
      <c r="F26" s="91"/>
      <c r="G26" s="91"/>
      <c r="H26" s="91"/>
      <c r="I26" s="91"/>
      <c r="J26" s="91"/>
      <c r="K26" s="118"/>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5">
        <v>44763</v>
      </c>
      <c r="AO26" s="69">
        <f t="shared" si="4"/>
        <v>0</v>
      </c>
      <c r="AP26" s="69">
        <f t="shared" si="5"/>
        <v>91.31</v>
      </c>
      <c r="AQ26" s="69">
        <f t="shared" si="6"/>
        <v>129.78</v>
      </c>
      <c r="AR26" s="69">
        <f t="shared" si="7"/>
        <v>129.78</v>
      </c>
      <c r="AT26" s="15">
        <v>44763</v>
      </c>
      <c r="AU26" s="69">
        <v>0</v>
      </c>
      <c r="AV26" s="69">
        <v>0</v>
      </c>
      <c r="AW26" s="69">
        <v>0</v>
      </c>
      <c r="AX26" s="69">
        <v>0</v>
      </c>
      <c r="AZ26" s="39">
        <v>44763</v>
      </c>
      <c r="BA26" s="8"/>
      <c r="BB26" s="8"/>
      <c r="BC26" s="8"/>
      <c r="BD26" s="8"/>
    </row>
    <row r="27" spans="1: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5">
        <v>44794</v>
      </c>
      <c r="AO27" s="69">
        <f t="shared" si="4"/>
        <v>0</v>
      </c>
      <c r="AP27" s="69">
        <f t="shared" si="5"/>
        <v>91.31</v>
      </c>
      <c r="AQ27" s="69">
        <f t="shared" si="6"/>
        <v>129.78</v>
      </c>
      <c r="AR27" s="69">
        <f t="shared" si="7"/>
        <v>129.78</v>
      </c>
      <c r="AT27" s="15">
        <v>44794</v>
      </c>
      <c r="AU27" s="69">
        <v>0</v>
      </c>
      <c r="AV27" s="69">
        <v>0</v>
      </c>
      <c r="AW27" s="69">
        <v>0</v>
      </c>
      <c r="AX27" s="69">
        <v>0</v>
      </c>
      <c r="AZ27" s="39">
        <v>44794</v>
      </c>
      <c r="BA27" s="8"/>
      <c r="BB27" s="8"/>
      <c r="BC27" s="8"/>
      <c r="BD27" s="8"/>
    </row>
    <row r="28" spans="1:56" ht="15" customHeight="1" thickBot="1">
      <c r="A28" s="11" t="s">
        <v>225</v>
      </c>
      <c r="B28" s="11"/>
      <c r="C28" s="11"/>
      <c r="D28" s="11"/>
      <c r="E28" s="11"/>
      <c r="F28" s="12"/>
      <c r="G28" s="12"/>
      <c r="H28" s="12"/>
      <c r="I28" s="12"/>
      <c r="J28" s="11" t="s">
        <v>226</v>
      </c>
      <c r="K28" s="12"/>
      <c r="L28" s="13"/>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7" t="s">
        <v>228</v>
      </c>
      <c r="AO28" s="69">
        <f t="shared" si="4"/>
        <v>0</v>
      </c>
      <c r="AP28" s="69">
        <f t="shared" si="5"/>
        <v>91.31</v>
      </c>
      <c r="AQ28" s="69">
        <f t="shared" si="6"/>
        <v>129.78</v>
      </c>
      <c r="AR28" s="69">
        <f t="shared" si="7"/>
        <v>129.78</v>
      </c>
      <c r="AT28" s="17" t="s">
        <v>228</v>
      </c>
      <c r="AU28" s="69">
        <v>0</v>
      </c>
      <c r="AV28" s="69">
        <v>0</v>
      </c>
      <c r="AW28" s="69">
        <v>0</v>
      </c>
      <c r="AX28" s="69">
        <v>0</v>
      </c>
      <c r="AZ28" s="40" t="s">
        <v>228</v>
      </c>
      <c r="BA28" s="8"/>
      <c r="BB28" s="8"/>
      <c r="BC28" s="8"/>
      <c r="BD28" s="8"/>
    </row>
    <row r="29" spans="1:56" ht="15" customHeight="1">
      <c r="A29" s="119"/>
      <c r="B29" s="120"/>
      <c r="C29" s="120"/>
      <c r="D29" s="120"/>
      <c r="E29" s="120"/>
      <c r="F29" s="120"/>
      <c r="G29" s="120"/>
      <c r="H29" s="121"/>
      <c r="I29" s="125" t="str">
        <f>+VLOOKUP(($A$1),Sumario!$A$2:$AZ$41,48,(FALSE))</f>
        <v>Contrato activo.
Rempujo: Construcción de aceras y cordón y caño
Esperanza: Construcción de escolleras, losa de aproximación
Sube y Baja: Construcción de rellenos de aproximación, colocación de tuberías.
Se tiene pendiente por parte de Jurídicos la revisión del reclamo administrativo enviado el 01 de diciembre de 2021 mediante oficio GCTI-15-21-1209 (0736) y la certificación presupuestaria por parte de la Gerencia de Construcción</v>
      </c>
      <c r="J29" s="126"/>
      <c r="K29" s="126"/>
      <c r="L29" s="126"/>
      <c r="M29" s="126"/>
      <c r="N29" s="126"/>
      <c r="O29" s="126"/>
      <c r="P29" s="126"/>
      <c r="Q29" s="126"/>
      <c r="R29" s="126"/>
      <c r="S29" s="126"/>
      <c r="T29" s="126"/>
      <c r="U29" s="126"/>
      <c r="V29" s="126"/>
      <c r="W29" s="127"/>
      <c r="X29" s="1"/>
      <c r="Y29" s="1"/>
      <c r="Z29" s="1"/>
      <c r="AA29" s="1"/>
      <c r="AB29" s="1"/>
      <c r="AC29" s="1"/>
      <c r="AD29" s="1"/>
      <c r="AE29" s="1"/>
      <c r="AF29" s="1"/>
      <c r="AG29" s="1"/>
      <c r="AH29" s="1"/>
      <c r="AI29" s="1"/>
      <c r="AJ29" s="1"/>
      <c r="AK29" s="1"/>
      <c r="AL29" s="1"/>
      <c r="AM29" s="1"/>
      <c r="AN29" s="15">
        <v>44855</v>
      </c>
      <c r="AO29" s="69">
        <f t="shared" si="4"/>
        <v>0</v>
      </c>
      <c r="AP29" s="69">
        <f t="shared" si="5"/>
        <v>91.31</v>
      </c>
      <c r="AQ29" s="69">
        <f t="shared" si="6"/>
        <v>129.78</v>
      </c>
      <c r="AR29" s="69">
        <f t="shared" si="7"/>
        <v>129.78</v>
      </c>
      <c r="AT29" s="15">
        <v>44855</v>
      </c>
      <c r="AU29" s="69">
        <v>0</v>
      </c>
      <c r="AV29" s="69">
        <v>0</v>
      </c>
      <c r="AW29" s="69">
        <v>0</v>
      </c>
      <c r="AX29" s="69">
        <v>0</v>
      </c>
      <c r="AZ29" s="39">
        <v>44855</v>
      </c>
      <c r="BA29" s="8"/>
      <c r="BB29" s="8"/>
      <c r="BC29" s="8"/>
      <c r="BD29" s="8"/>
    </row>
    <row r="30" spans="1:56" ht="15" customHeight="1">
      <c r="A30" s="81"/>
      <c r="B30" s="122"/>
      <c r="C30" s="122"/>
      <c r="D30" s="122"/>
      <c r="E30" s="122"/>
      <c r="F30" s="122"/>
      <c r="G30" s="122"/>
      <c r="H30" s="123"/>
      <c r="I30" s="128"/>
      <c r="J30" s="129"/>
      <c r="K30" s="129"/>
      <c r="L30" s="129"/>
      <c r="M30" s="129"/>
      <c r="N30" s="129"/>
      <c r="O30" s="129"/>
      <c r="P30" s="129"/>
      <c r="Q30" s="129"/>
      <c r="R30" s="129"/>
      <c r="S30" s="129"/>
      <c r="T30" s="129"/>
      <c r="U30" s="129"/>
      <c r="V30" s="129"/>
      <c r="W30" s="130"/>
      <c r="X30" s="1"/>
      <c r="Y30" s="1"/>
      <c r="Z30" s="1"/>
      <c r="AA30" s="1"/>
      <c r="AB30" s="1"/>
      <c r="AC30" s="1"/>
      <c r="AD30" s="1"/>
      <c r="AE30" s="1"/>
      <c r="AF30" s="1"/>
      <c r="AG30" s="1"/>
      <c r="AH30" s="1"/>
      <c r="AI30" s="1"/>
      <c r="AJ30" s="1"/>
      <c r="AK30" s="1"/>
      <c r="AL30" s="1"/>
      <c r="AM30" s="1"/>
      <c r="AN30" s="15">
        <v>44886</v>
      </c>
      <c r="AO30" s="69">
        <f t="shared" si="4"/>
        <v>0</v>
      </c>
      <c r="AP30" s="69">
        <f t="shared" si="5"/>
        <v>91.31</v>
      </c>
      <c r="AQ30" s="69">
        <f t="shared" si="6"/>
        <v>129.78</v>
      </c>
      <c r="AR30" s="69">
        <f t="shared" si="7"/>
        <v>129.78</v>
      </c>
      <c r="AT30" s="15">
        <v>44886</v>
      </c>
      <c r="AU30" s="69">
        <v>0</v>
      </c>
      <c r="AV30" s="69">
        <v>0</v>
      </c>
      <c r="AW30" s="69">
        <v>0</v>
      </c>
      <c r="AX30" s="69">
        <v>0</v>
      </c>
      <c r="AZ30" s="39">
        <v>44886</v>
      </c>
      <c r="BA30" s="8"/>
      <c r="BB30" s="8"/>
      <c r="BC30" s="8"/>
      <c r="BD30" s="8"/>
    </row>
    <row r="31" spans="1:56" ht="15" customHeight="1">
      <c r="A31" s="81"/>
      <c r="B31" s="122"/>
      <c r="C31" s="122"/>
      <c r="D31" s="122"/>
      <c r="E31" s="122"/>
      <c r="F31" s="122"/>
      <c r="G31" s="122"/>
      <c r="H31" s="123"/>
      <c r="I31" s="128"/>
      <c r="J31" s="129"/>
      <c r="K31" s="129"/>
      <c r="L31" s="129"/>
      <c r="M31" s="129"/>
      <c r="N31" s="129"/>
      <c r="O31" s="129"/>
      <c r="P31" s="129"/>
      <c r="Q31" s="129"/>
      <c r="R31" s="129"/>
      <c r="S31" s="129"/>
      <c r="T31" s="129"/>
      <c r="U31" s="129"/>
      <c r="V31" s="129"/>
      <c r="W31" s="130"/>
      <c r="X31" s="1"/>
      <c r="Y31" s="1"/>
      <c r="Z31" s="1"/>
      <c r="AA31" s="1"/>
      <c r="AB31" s="1"/>
      <c r="AC31" s="1"/>
      <c r="AD31" s="1"/>
      <c r="AE31" s="1"/>
      <c r="AF31" s="1"/>
      <c r="AG31" s="1"/>
      <c r="AH31" s="1"/>
      <c r="AI31" s="1"/>
      <c r="AJ31" s="1"/>
      <c r="AK31" s="1"/>
      <c r="AL31" s="1"/>
      <c r="AM31" s="1"/>
      <c r="AN31" s="15">
        <v>44916</v>
      </c>
      <c r="AO31" s="69">
        <f t="shared" si="4"/>
        <v>0</v>
      </c>
      <c r="AP31" s="69">
        <f t="shared" si="5"/>
        <v>91.31</v>
      </c>
      <c r="AQ31" s="69">
        <f t="shared" si="6"/>
        <v>129.78</v>
      </c>
      <c r="AR31" s="69">
        <f t="shared" si="7"/>
        <v>129.78</v>
      </c>
      <c r="AT31" s="15">
        <v>44916</v>
      </c>
      <c r="AU31" s="69">
        <v>0</v>
      </c>
      <c r="AV31" s="69">
        <v>0</v>
      </c>
      <c r="AW31" s="69">
        <v>0</v>
      </c>
      <c r="AX31" s="69">
        <v>0</v>
      </c>
      <c r="AZ31" s="39">
        <v>44916</v>
      </c>
      <c r="BA31" s="8"/>
      <c r="BB31" s="8"/>
      <c r="BC31" s="8"/>
      <c r="BD31" s="8"/>
    </row>
    <row r="32" spans="1:56" ht="15" customHeight="1">
      <c r="A32" s="81"/>
      <c r="B32" s="122"/>
      <c r="C32" s="122"/>
      <c r="D32" s="122"/>
      <c r="E32" s="122"/>
      <c r="F32" s="122"/>
      <c r="G32" s="122"/>
      <c r="H32" s="123"/>
      <c r="I32" s="128"/>
      <c r="J32" s="129"/>
      <c r="K32" s="129"/>
      <c r="L32" s="129"/>
      <c r="M32" s="129"/>
      <c r="N32" s="129"/>
      <c r="O32" s="129"/>
      <c r="P32" s="129"/>
      <c r="Q32" s="129"/>
      <c r="R32" s="129"/>
      <c r="S32" s="129"/>
      <c r="T32" s="129"/>
      <c r="U32" s="129"/>
      <c r="V32" s="129"/>
      <c r="W32" s="130"/>
      <c r="X32" s="1"/>
      <c r="Y32" s="1"/>
      <c r="Z32" s="1"/>
      <c r="AA32" s="1"/>
      <c r="AB32" s="1"/>
      <c r="AC32" s="1"/>
      <c r="AD32" s="1"/>
      <c r="AE32" s="1"/>
      <c r="AF32" s="1"/>
      <c r="AG32" s="1"/>
      <c r="AH32" s="1"/>
      <c r="AI32" s="1"/>
      <c r="AJ32" s="1"/>
      <c r="AK32" s="1"/>
      <c r="AL32" s="1"/>
      <c r="AM32" s="1"/>
      <c r="AN32" s="15">
        <v>44583</v>
      </c>
      <c r="AO32" s="69">
        <f t="shared" si="4"/>
        <v>0</v>
      </c>
      <c r="AP32" s="69">
        <f t="shared" si="5"/>
        <v>91.31</v>
      </c>
      <c r="AQ32" s="69">
        <f t="shared" si="6"/>
        <v>129.78</v>
      </c>
      <c r="AR32" s="69">
        <f t="shared" si="7"/>
        <v>129.78</v>
      </c>
      <c r="AT32" s="15">
        <v>44583</v>
      </c>
      <c r="AU32" s="69">
        <v>0</v>
      </c>
      <c r="AV32" s="69">
        <v>0</v>
      </c>
      <c r="AW32" s="69">
        <v>0</v>
      </c>
      <c r="AX32" s="69">
        <v>0</v>
      </c>
      <c r="AZ32" s="39">
        <v>44583</v>
      </c>
      <c r="BA32" s="8"/>
      <c r="BB32" s="8"/>
      <c r="BC32" s="8"/>
      <c r="BD32" s="8"/>
    </row>
    <row r="33" spans="1:56" ht="15" customHeight="1">
      <c r="A33" s="81"/>
      <c r="B33" s="122"/>
      <c r="C33" s="122"/>
      <c r="D33" s="122"/>
      <c r="E33" s="122"/>
      <c r="F33" s="122"/>
      <c r="G33" s="122"/>
      <c r="H33" s="123"/>
      <c r="I33" s="128"/>
      <c r="J33" s="129"/>
      <c r="K33" s="129"/>
      <c r="L33" s="129"/>
      <c r="M33" s="129"/>
      <c r="N33" s="129"/>
      <c r="O33" s="129"/>
      <c r="P33" s="129"/>
      <c r="Q33" s="129"/>
      <c r="R33" s="129"/>
      <c r="S33" s="129"/>
      <c r="T33" s="129"/>
      <c r="U33" s="129"/>
      <c r="V33" s="129"/>
      <c r="W33" s="130"/>
      <c r="X33" s="1"/>
      <c r="Y33" s="1"/>
      <c r="Z33" s="1"/>
      <c r="AA33" s="1"/>
      <c r="AB33" s="1"/>
      <c r="AC33" s="1"/>
      <c r="AD33" s="1"/>
      <c r="AE33" s="1"/>
      <c r="AF33" s="1"/>
      <c r="AG33" s="1"/>
      <c r="AH33" s="1"/>
      <c r="AI33" s="1"/>
      <c r="AJ33" s="1"/>
      <c r="AK33" s="1"/>
      <c r="AL33" s="1"/>
      <c r="AM33" s="1"/>
      <c r="AN33" s="15">
        <v>44614</v>
      </c>
      <c r="AO33" s="69">
        <f t="shared" si="4"/>
        <v>0</v>
      </c>
      <c r="AP33" s="69">
        <f t="shared" si="5"/>
        <v>91.31</v>
      </c>
      <c r="AQ33" s="69">
        <f t="shared" si="6"/>
        <v>129.78</v>
      </c>
      <c r="AR33" s="69">
        <f t="shared" si="7"/>
        <v>129.78</v>
      </c>
      <c r="AT33" s="15">
        <v>44614</v>
      </c>
      <c r="AU33" s="69">
        <v>0</v>
      </c>
      <c r="AV33" s="69">
        <v>0</v>
      </c>
      <c r="AW33" s="69">
        <v>0</v>
      </c>
      <c r="AX33" s="69">
        <v>0</v>
      </c>
      <c r="AZ33" s="15">
        <v>44614</v>
      </c>
      <c r="BA33" s="42"/>
      <c r="BB33" s="42"/>
      <c r="BC33" s="42"/>
      <c r="BD33" s="42"/>
    </row>
    <row r="34" spans="1:56" ht="15" customHeight="1">
      <c r="A34" s="81"/>
      <c r="B34" s="122"/>
      <c r="C34" s="122"/>
      <c r="D34" s="122"/>
      <c r="E34" s="122"/>
      <c r="F34" s="122"/>
      <c r="G34" s="122"/>
      <c r="H34" s="123"/>
      <c r="I34" s="128"/>
      <c r="J34" s="129"/>
      <c r="K34" s="129"/>
      <c r="L34" s="129"/>
      <c r="M34" s="129"/>
      <c r="N34" s="129"/>
      <c r="O34" s="129"/>
      <c r="P34" s="129"/>
      <c r="Q34" s="129"/>
      <c r="R34" s="129"/>
      <c r="S34" s="129"/>
      <c r="T34" s="129"/>
      <c r="U34" s="129"/>
      <c r="V34" s="129"/>
      <c r="W34" s="130"/>
      <c r="X34" s="1"/>
      <c r="Y34" s="1"/>
      <c r="Z34" s="1"/>
      <c r="AA34" s="1"/>
      <c r="AB34" s="1"/>
      <c r="AC34" s="1"/>
      <c r="AD34" s="1"/>
      <c r="AE34" s="1"/>
      <c r="AF34" s="1"/>
      <c r="AG34" s="1"/>
      <c r="AH34" s="1"/>
      <c r="AI34" s="1"/>
      <c r="AJ34" s="1"/>
      <c r="AK34" s="1"/>
      <c r="AL34" s="1"/>
      <c r="AM34" s="1"/>
      <c r="AN34" s="15">
        <v>44642</v>
      </c>
      <c r="AO34" s="69">
        <f t="shared" si="4"/>
        <v>0</v>
      </c>
      <c r="AP34" s="69">
        <f t="shared" si="5"/>
        <v>123.45</v>
      </c>
      <c r="AQ34" s="69">
        <f t="shared" si="6"/>
        <v>129.78</v>
      </c>
      <c r="AR34" s="69">
        <f t="shared" si="7"/>
        <v>191.01</v>
      </c>
      <c r="AT34" s="15">
        <v>44642</v>
      </c>
      <c r="AU34" s="69">
        <v>0</v>
      </c>
      <c r="AV34" s="69">
        <v>32.14</v>
      </c>
      <c r="AW34" s="69">
        <v>0</v>
      </c>
      <c r="AX34" s="69">
        <v>61.23</v>
      </c>
      <c r="AZ34" s="15">
        <v>44642</v>
      </c>
      <c r="BA34" s="8"/>
      <c r="BB34" s="8"/>
      <c r="BC34" s="8"/>
      <c r="BD34" s="8"/>
    </row>
    <row r="35" spans="1:56" ht="15" customHeight="1">
      <c r="A35" s="81"/>
      <c r="B35" s="122"/>
      <c r="C35" s="122"/>
      <c r="D35" s="122"/>
      <c r="E35" s="122"/>
      <c r="F35" s="122"/>
      <c r="G35" s="122"/>
      <c r="H35" s="123"/>
      <c r="I35" s="128"/>
      <c r="J35" s="129"/>
      <c r="K35" s="129"/>
      <c r="L35" s="129"/>
      <c r="M35" s="129"/>
      <c r="N35" s="129"/>
      <c r="O35" s="129"/>
      <c r="P35" s="129"/>
      <c r="Q35" s="129"/>
      <c r="R35" s="129"/>
      <c r="S35" s="129"/>
      <c r="T35" s="129"/>
      <c r="U35" s="129"/>
      <c r="V35" s="129"/>
      <c r="W35" s="130"/>
      <c r="X35" s="1"/>
      <c r="Y35" s="1"/>
      <c r="Z35" s="1"/>
      <c r="AA35" s="1"/>
      <c r="AB35" s="1"/>
      <c r="AC35" s="1"/>
      <c r="AD35" s="1"/>
      <c r="AE35" s="1"/>
      <c r="AF35" s="1"/>
      <c r="AG35" s="1"/>
      <c r="AH35" s="1"/>
      <c r="AI35" s="1"/>
      <c r="AJ35" s="1"/>
      <c r="AK35" s="1"/>
      <c r="AL35" s="1"/>
      <c r="AM35" s="1"/>
      <c r="AN35" s="15">
        <v>44673</v>
      </c>
      <c r="AO35" s="69">
        <f t="shared" si="4"/>
        <v>0</v>
      </c>
      <c r="AP35" s="69">
        <f t="shared" si="5"/>
        <v>291.5</v>
      </c>
      <c r="AQ35" s="69">
        <f t="shared" si="6"/>
        <v>129.78</v>
      </c>
      <c r="AR35" s="69">
        <f t="shared" si="7"/>
        <v>265.88</v>
      </c>
      <c r="AT35" s="15">
        <v>44673</v>
      </c>
      <c r="AU35" s="69">
        <v>0</v>
      </c>
      <c r="AV35" s="69">
        <v>168.05</v>
      </c>
      <c r="AW35" s="69">
        <v>0</v>
      </c>
      <c r="AX35" s="69">
        <v>74.87</v>
      </c>
      <c r="AZ35" s="15">
        <v>44673</v>
      </c>
      <c r="BA35" s="8">
        <v>0</v>
      </c>
      <c r="BB35" s="8">
        <v>0</v>
      </c>
      <c r="BC35" s="8">
        <v>0</v>
      </c>
      <c r="BD35" s="8">
        <v>0</v>
      </c>
    </row>
    <row r="36" spans="1:56" ht="15" customHeight="1">
      <c r="A36" s="81"/>
      <c r="B36" s="122"/>
      <c r="C36" s="122"/>
      <c r="D36" s="122"/>
      <c r="E36" s="122"/>
      <c r="F36" s="122"/>
      <c r="G36" s="122"/>
      <c r="H36" s="123"/>
      <c r="I36" s="128"/>
      <c r="J36" s="129"/>
      <c r="K36" s="129"/>
      <c r="L36" s="129"/>
      <c r="M36" s="129"/>
      <c r="N36" s="129"/>
      <c r="O36" s="129"/>
      <c r="P36" s="129"/>
      <c r="Q36" s="129"/>
      <c r="R36" s="129"/>
      <c r="S36" s="129"/>
      <c r="T36" s="129"/>
      <c r="U36" s="129"/>
      <c r="V36" s="129"/>
      <c r="W36" s="130"/>
      <c r="X36" s="1"/>
      <c r="Y36" s="1"/>
      <c r="Z36" s="1"/>
      <c r="AA36" s="1"/>
      <c r="AB36" s="1"/>
      <c r="AC36" s="1"/>
      <c r="AD36" s="1"/>
      <c r="AE36" s="1"/>
      <c r="AF36" s="1"/>
      <c r="AG36" s="1"/>
      <c r="AH36" s="1"/>
      <c r="AI36" s="1"/>
      <c r="AJ36" s="1"/>
      <c r="AK36" s="1"/>
      <c r="AL36" s="1"/>
      <c r="AM36" s="1"/>
      <c r="AN36" s="15">
        <v>44703</v>
      </c>
      <c r="AO36" s="69">
        <f t="shared" si="4"/>
        <v>0</v>
      </c>
      <c r="AP36" s="69">
        <f t="shared" si="5"/>
        <v>503.72</v>
      </c>
      <c r="AQ36" s="69">
        <f t="shared" si="6"/>
        <v>129.78</v>
      </c>
      <c r="AR36" s="69">
        <f t="shared" si="7"/>
        <v>374.03999999999996</v>
      </c>
      <c r="AT36" s="15">
        <v>44703</v>
      </c>
      <c r="AU36" s="69">
        <v>0</v>
      </c>
      <c r="AV36" s="69">
        <v>212.22</v>
      </c>
      <c r="AW36" s="69">
        <v>0</v>
      </c>
      <c r="AX36" s="69">
        <v>108.16</v>
      </c>
      <c r="AZ36" s="15">
        <v>44703</v>
      </c>
      <c r="BA36" s="8">
        <v>0</v>
      </c>
      <c r="BB36" s="8">
        <v>0</v>
      </c>
      <c r="BC36" s="8">
        <v>0</v>
      </c>
      <c r="BD36" s="8">
        <v>0</v>
      </c>
    </row>
    <row r="37" spans="1:56" ht="15" customHeight="1" thickBot="1">
      <c r="A37" s="82"/>
      <c r="B37" s="124"/>
      <c r="C37" s="124"/>
      <c r="D37" s="124"/>
      <c r="E37" s="124"/>
      <c r="F37" s="124"/>
      <c r="G37" s="124"/>
      <c r="H37" s="113"/>
      <c r="I37" s="131"/>
      <c r="J37" s="132"/>
      <c r="K37" s="132"/>
      <c r="L37" s="132"/>
      <c r="M37" s="132"/>
      <c r="N37" s="132"/>
      <c r="O37" s="132"/>
      <c r="P37" s="132"/>
      <c r="Q37" s="132"/>
      <c r="R37" s="132"/>
      <c r="S37" s="132"/>
      <c r="T37" s="132"/>
      <c r="U37" s="132"/>
      <c r="V37" s="132"/>
      <c r="W37" s="133"/>
      <c r="X37" s="1"/>
      <c r="Y37" s="1"/>
      <c r="Z37" s="1"/>
      <c r="AA37" s="1"/>
      <c r="AB37" s="1"/>
      <c r="AC37" s="1"/>
      <c r="AD37" s="1"/>
      <c r="AE37" s="1"/>
      <c r="AF37" s="1"/>
      <c r="AG37" s="1"/>
      <c r="AH37" s="1"/>
      <c r="AI37" s="1"/>
      <c r="AJ37" s="1"/>
      <c r="AK37" s="1"/>
      <c r="AL37" s="1"/>
      <c r="AM37" s="1"/>
      <c r="AN37" s="15">
        <v>44734</v>
      </c>
      <c r="AO37" s="69">
        <f t="shared" si="4"/>
        <v>0</v>
      </c>
      <c r="AP37" s="69">
        <f t="shared" si="5"/>
        <v>679.99</v>
      </c>
      <c r="AQ37" s="69">
        <f t="shared" si="6"/>
        <v>191.01</v>
      </c>
      <c r="AR37" s="69">
        <f t="shared" si="7"/>
        <v>491.65</v>
      </c>
      <c r="AT37" s="15">
        <v>44734</v>
      </c>
      <c r="AU37" s="69">
        <v>0</v>
      </c>
      <c r="AV37" s="69">
        <v>176.27</v>
      </c>
      <c r="AW37" s="69">
        <v>61.23</v>
      </c>
      <c r="AX37" s="69">
        <v>117.61</v>
      </c>
      <c r="AZ37" s="15">
        <v>44734</v>
      </c>
      <c r="BA37" s="8">
        <f>+AC4</f>
        <v>1.0000000155450584</v>
      </c>
      <c r="BB37" s="8">
        <f>+AG4</f>
        <v>1.3636785699574201</v>
      </c>
      <c r="BC37" s="8">
        <f>+AK4</f>
        <v>-5.8289009848477012E-8</v>
      </c>
      <c r="BD37" s="18">
        <f>+Y4</f>
        <v>542.99999533648247</v>
      </c>
    </row>
    <row r="38" spans="1:56" ht="15" customHeight="1">
      <c r="A38" s="14"/>
      <c r="B38" s="14"/>
      <c r="C38" s="14"/>
      <c r="D38" s="14"/>
      <c r="E38" s="14"/>
      <c r="F38" s="14"/>
      <c r="G38" s="14"/>
      <c r="H38" s="14"/>
      <c r="I38" s="14"/>
      <c r="J38" s="14"/>
      <c r="K38" s="14"/>
      <c r="L38" s="14"/>
      <c r="M38" s="14"/>
      <c r="N38" s="14"/>
      <c r="O38" s="14"/>
      <c r="P38" s="14"/>
      <c r="Q38" s="14"/>
      <c r="R38" s="14"/>
      <c r="S38" s="14"/>
      <c r="AN38" s="15">
        <v>44764</v>
      </c>
      <c r="AO38" s="69">
        <f t="shared" si="4"/>
        <v>0</v>
      </c>
      <c r="AP38" s="69">
        <f t="shared" si="5"/>
        <v>912.84</v>
      </c>
      <c r="AQ38" s="69">
        <f t="shared" si="6"/>
        <v>191.01</v>
      </c>
      <c r="AR38" s="69">
        <f t="shared" si="7"/>
        <v>701.98</v>
      </c>
      <c r="AT38" s="15">
        <v>44764</v>
      </c>
      <c r="AU38" s="69">
        <v>0</v>
      </c>
      <c r="AV38" s="69">
        <v>232.85</v>
      </c>
      <c r="AW38" s="69">
        <v>0</v>
      </c>
      <c r="AX38" s="69">
        <v>210.33</v>
      </c>
      <c r="AZ38" s="15">
        <v>44764</v>
      </c>
      <c r="BA38" s="8">
        <v>1.61</v>
      </c>
      <c r="BB38" s="8">
        <v>1.96</v>
      </c>
      <c r="BC38" s="8">
        <v>0.9</v>
      </c>
      <c r="BD38" s="8">
        <v>204.75</v>
      </c>
    </row>
    <row r="39" spans="1:56" ht="15.75" customHeight="1">
      <c r="A39" s="14"/>
      <c r="B39" s="14"/>
      <c r="C39" s="14"/>
      <c r="D39" s="14"/>
      <c r="E39" s="14"/>
      <c r="F39" s="14"/>
      <c r="G39" s="14"/>
      <c r="H39" s="14"/>
      <c r="I39" s="14"/>
      <c r="J39" s="14"/>
      <c r="K39" s="14"/>
      <c r="L39" s="14"/>
      <c r="M39" s="14"/>
      <c r="N39" s="14"/>
      <c r="O39" s="14"/>
      <c r="P39" s="14"/>
      <c r="Q39" s="14"/>
      <c r="R39" s="14"/>
      <c r="S39" s="14"/>
      <c r="AN39" s="15">
        <v>44795</v>
      </c>
      <c r="AO39" s="69">
        <f t="shared" si="4"/>
        <v>0</v>
      </c>
      <c r="AP39" s="69">
        <f t="shared" si="5"/>
        <v>1176.6100000000001</v>
      </c>
      <c r="AQ39" s="69">
        <f t="shared" si="6"/>
        <v>374.03999999999996</v>
      </c>
      <c r="AR39" s="69">
        <f t="shared" si="7"/>
        <v>817.39</v>
      </c>
      <c r="AT39" s="15">
        <v>44795</v>
      </c>
      <c r="AU39" s="69">
        <v>0</v>
      </c>
      <c r="AV39" s="69">
        <v>263.77</v>
      </c>
      <c r="AW39" s="69">
        <v>183.03</v>
      </c>
      <c r="AX39" s="69">
        <v>115.41</v>
      </c>
      <c r="AZ39" s="15">
        <v>44795</v>
      </c>
      <c r="BA39" s="8">
        <v>4.43</v>
      </c>
      <c r="BB39" s="8">
        <v>1.38</v>
      </c>
      <c r="BC39" s="8">
        <v>0.76</v>
      </c>
      <c r="BD39" s="8">
        <v>96.65</v>
      </c>
    </row>
    <row r="40" spans="1:56" ht="15.75" customHeight="1">
      <c r="A40" s="14"/>
      <c r="B40" s="14"/>
      <c r="C40" s="14"/>
      <c r="D40" s="14"/>
      <c r="E40" s="14"/>
      <c r="F40" s="14"/>
      <c r="G40" s="14"/>
      <c r="H40" s="14"/>
      <c r="I40" s="14"/>
      <c r="J40" s="14"/>
      <c r="K40" s="14"/>
      <c r="L40" s="14"/>
      <c r="M40" s="14"/>
      <c r="N40" s="14"/>
      <c r="O40" s="14"/>
      <c r="P40" s="14"/>
      <c r="Q40" s="14"/>
      <c r="R40" s="14"/>
      <c r="S40" s="14"/>
      <c r="AN40" s="17" t="s">
        <v>229</v>
      </c>
      <c r="AO40" s="69">
        <f t="shared" si="4"/>
        <v>0</v>
      </c>
      <c r="AP40" s="69">
        <f t="shared" si="5"/>
        <v>1452.67</v>
      </c>
      <c r="AQ40" s="69">
        <f t="shared" si="6"/>
        <v>701.98</v>
      </c>
      <c r="AR40" s="69">
        <f t="shared" si="7"/>
        <v>920.57999999999993</v>
      </c>
      <c r="AT40" s="17" t="s">
        <v>229</v>
      </c>
      <c r="AU40" s="69">
        <v>0</v>
      </c>
      <c r="AV40" s="69">
        <v>276.06</v>
      </c>
      <c r="AW40" s="69">
        <v>327.94</v>
      </c>
      <c r="AX40" s="69">
        <v>103.19</v>
      </c>
      <c r="AZ40" s="17" t="s">
        <v>229</v>
      </c>
      <c r="BA40" s="8">
        <v>5.64</v>
      </c>
      <c r="BB40" s="8">
        <v>1.76</v>
      </c>
      <c r="BC40" s="8">
        <v>0.5</v>
      </c>
      <c r="BD40" s="8">
        <v>82.22</v>
      </c>
    </row>
    <row r="41" spans="1:56" ht="15.75" customHeight="1">
      <c r="A41" s="14"/>
      <c r="B41" s="14"/>
      <c r="C41" s="14"/>
      <c r="D41" s="14"/>
      <c r="E41" s="14"/>
      <c r="F41" s="14"/>
      <c r="G41" s="14"/>
      <c r="H41" s="14"/>
      <c r="I41" s="14"/>
      <c r="J41" s="14"/>
      <c r="K41" s="14"/>
      <c r="L41" s="14"/>
      <c r="M41" s="14"/>
      <c r="N41" s="14"/>
      <c r="O41" s="14"/>
      <c r="P41" s="14"/>
      <c r="Q41" s="14"/>
      <c r="R41" s="14"/>
      <c r="S41" s="14"/>
      <c r="AN41" s="15">
        <v>44856</v>
      </c>
      <c r="AO41" s="69">
        <f t="shared" si="4"/>
        <v>0</v>
      </c>
      <c r="AP41" s="69">
        <f t="shared" si="5"/>
        <v>1734.43</v>
      </c>
      <c r="AQ41" s="69">
        <f t="shared" si="6"/>
        <v>701.98</v>
      </c>
      <c r="AR41" s="69">
        <f t="shared" si="7"/>
        <v>1001.0799999999999</v>
      </c>
      <c r="AT41" s="15">
        <v>44856</v>
      </c>
      <c r="AU41" s="69">
        <v>0</v>
      </c>
      <c r="AV41" s="69">
        <v>281.76</v>
      </c>
      <c r="AW41" s="69">
        <v>0</v>
      </c>
      <c r="AX41" s="69">
        <v>80.5</v>
      </c>
      <c r="AZ41" s="15">
        <v>44856</v>
      </c>
      <c r="BA41" s="8">
        <v>0.77</v>
      </c>
      <c r="BB41" s="8">
        <v>2.12</v>
      </c>
      <c r="BC41" s="8">
        <v>0.36</v>
      </c>
      <c r="BD41" s="8">
        <v>418.33</v>
      </c>
    </row>
    <row r="42" spans="1:56" ht="15.75" customHeight="1">
      <c r="A42" s="14"/>
      <c r="B42" s="14"/>
      <c r="C42" s="14"/>
      <c r="D42" s="14"/>
      <c r="E42" s="14"/>
      <c r="F42" s="14"/>
      <c r="G42" s="14"/>
      <c r="H42" s="14"/>
      <c r="I42" s="14"/>
      <c r="J42" s="14"/>
      <c r="K42" s="14"/>
      <c r="L42" s="14"/>
      <c r="M42" s="14"/>
      <c r="N42" s="14"/>
      <c r="O42" s="14"/>
      <c r="P42" s="14"/>
      <c r="Q42" s="14"/>
      <c r="R42" s="14"/>
      <c r="S42" s="14"/>
      <c r="AN42" s="15">
        <v>44887</v>
      </c>
      <c r="AO42" s="69">
        <f t="shared" si="4"/>
        <v>0</v>
      </c>
      <c r="AP42" s="69">
        <f t="shared" si="5"/>
        <v>1934.3700000000001</v>
      </c>
      <c r="AQ42" s="69">
        <f t="shared" si="6"/>
        <v>817.39</v>
      </c>
      <c r="AR42" s="69">
        <f t="shared" si="7"/>
        <v>1091.21</v>
      </c>
      <c r="AT42" s="15">
        <v>44887</v>
      </c>
      <c r="AU42" s="69">
        <v>0</v>
      </c>
      <c r="AV42" s="69">
        <v>199.94</v>
      </c>
      <c r="AW42" s="69">
        <v>115.41</v>
      </c>
      <c r="AX42" s="69">
        <v>90.13</v>
      </c>
      <c r="AZ42" s="15">
        <v>44887</v>
      </c>
      <c r="BA42" s="8">
        <v>0.77</v>
      </c>
      <c r="BB42" s="8">
        <v>1.82</v>
      </c>
      <c r="BC42" s="8">
        <v>0.4</v>
      </c>
      <c r="BD42" s="8">
        <v>500.33</v>
      </c>
    </row>
    <row r="43" spans="1:56" ht="15.75" customHeight="1">
      <c r="AN43" s="15">
        <v>44917</v>
      </c>
      <c r="AO43" s="69">
        <f t="shared" si="4"/>
        <v>0</v>
      </c>
      <c r="AP43" s="69">
        <f t="shared" si="5"/>
        <v>1934.3700000000001</v>
      </c>
      <c r="AQ43" s="69">
        <f t="shared" si="6"/>
        <v>920.57999999999993</v>
      </c>
      <c r="AR43" s="69">
        <f t="shared" si="7"/>
        <v>1161.67</v>
      </c>
      <c r="AT43" s="15">
        <v>44917</v>
      </c>
      <c r="AU43" s="69">
        <v>0</v>
      </c>
      <c r="AV43" s="69">
        <v>0</v>
      </c>
      <c r="AW43" s="69">
        <v>103.19</v>
      </c>
      <c r="AX43" s="69">
        <v>70.459999999999994</v>
      </c>
      <c r="AZ43" s="15">
        <v>44917</v>
      </c>
      <c r="BA43" s="8">
        <v>1</v>
      </c>
      <c r="BB43" s="8">
        <v>2.1</v>
      </c>
      <c r="BC43" s="8">
        <v>0</v>
      </c>
      <c r="BD43" s="8">
        <v>411</v>
      </c>
    </row>
    <row r="44" spans="1:56" ht="15" customHeight="1">
      <c r="AN44" s="15">
        <v>44949</v>
      </c>
      <c r="AO44" s="69">
        <f t="shared" si="4"/>
        <v>0</v>
      </c>
      <c r="AP44" s="69">
        <f t="shared" si="5"/>
        <v>1934.3700000000001</v>
      </c>
      <c r="AQ44" s="69">
        <f t="shared" si="6"/>
        <v>1091.21</v>
      </c>
      <c r="AR44" s="69">
        <f t="shared" si="7"/>
        <v>1193.68</v>
      </c>
      <c r="AT44" s="15">
        <v>44949</v>
      </c>
      <c r="AU44" s="69">
        <v>0</v>
      </c>
      <c r="AV44" s="69">
        <v>0</v>
      </c>
      <c r="AW44" s="69">
        <v>170.63</v>
      </c>
      <c r="AX44" s="69">
        <v>32.01</v>
      </c>
      <c r="AZ44" s="15">
        <v>44584</v>
      </c>
      <c r="BA44" s="8">
        <v>1</v>
      </c>
      <c r="BB44" s="8">
        <v>1.66</v>
      </c>
      <c r="BC44" s="8">
        <v>0</v>
      </c>
      <c r="BD44" s="8">
        <v>411</v>
      </c>
    </row>
    <row r="45" spans="1:56" ht="15.75" customHeight="1">
      <c r="AN45" s="15">
        <v>44980</v>
      </c>
      <c r="AO45" s="69">
        <f t="shared" si="4"/>
        <v>0</v>
      </c>
      <c r="AP45" s="69">
        <f t="shared" si="5"/>
        <v>1934.3700000000001</v>
      </c>
      <c r="AQ45" s="69">
        <f t="shared" si="6"/>
        <v>1161.67</v>
      </c>
      <c r="AR45" s="69">
        <f t="shared" si="7"/>
        <v>1237.51</v>
      </c>
      <c r="AT45" s="15">
        <v>44980</v>
      </c>
      <c r="AU45" s="69">
        <v>0</v>
      </c>
      <c r="AV45" s="69">
        <v>0</v>
      </c>
      <c r="AW45" s="69">
        <v>70.459999999999994</v>
      </c>
      <c r="AX45" s="69">
        <v>43.83</v>
      </c>
      <c r="AZ45" s="15">
        <v>44615</v>
      </c>
      <c r="BA45" s="8">
        <v>1</v>
      </c>
      <c r="BB45" s="8">
        <v>1.56</v>
      </c>
      <c r="BC45" s="8">
        <v>0</v>
      </c>
      <c r="BD45" s="8">
        <v>419</v>
      </c>
    </row>
    <row r="46" spans="1:56" ht="15.75" customHeight="1">
      <c r="AN46" s="15">
        <v>45008</v>
      </c>
      <c r="AO46" s="69">
        <f t="shared" si="4"/>
        <v>0</v>
      </c>
      <c r="AP46" s="69">
        <f t="shared" si="5"/>
        <v>1934.3700000000001</v>
      </c>
      <c r="AQ46" s="69">
        <f t="shared" si="6"/>
        <v>1161.67</v>
      </c>
      <c r="AR46" s="69">
        <f t="shared" si="7"/>
        <v>1323.49</v>
      </c>
      <c r="AT46" s="15">
        <v>45008</v>
      </c>
      <c r="AU46" s="69">
        <v>0</v>
      </c>
      <c r="AV46" s="69">
        <v>0</v>
      </c>
      <c r="AW46" s="69">
        <v>0</v>
      </c>
      <c r="AX46" s="69">
        <v>85.98</v>
      </c>
      <c r="AZ46" s="15">
        <v>44643</v>
      </c>
      <c r="BA46" s="8">
        <v>1</v>
      </c>
      <c r="BB46" s="8">
        <v>1.56</v>
      </c>
      <c r="BC46" s="8">
        <v>0</v>
      </c>
      <c r="BD46" s="8">
        <v>419</v>
      </c>
    </row>
    <row r="47" spans="1:56" ht="15.75" customHeight="1">
      <c r="AN47" s="15">
        <v>45039</v>
      </c>
      <c r="AO47" s="69">
        <f t="shared" si="4"/>
        <v>0</v>
      </c>
      <c r="AP47" s="69">
        <f t="shared" si="5"/>
        <v>1934.3700000000001</v>
      </c>
      <c r="AQ47" s="69">
        <f t="shared" si="6"/>
        <v>1237.51</v>
      </c>
      <c r="AR47" s="69">
        <f t="shared" si="7"/>
        <v>1373.49</v>
      </c>
      <c r="AT47" s="15">
        <v>45039</v>
      </c>
      <c r="AU47" s="69">
        <v>0</v>
      </c>
      <c r="AV47" s="69">
        <v>0</v>
      </c>
      <c r="AW47" s="69">
        <v>75.84</v>
      </c>
      <c r="AX47" s="69">
        <v>50</v>
      </c>
      <c r="AZ47" s="15">
        <v>44674</v>
      </c>
      <c r="BA47" s="8">
        <v>1</v>
      </c>
      <c r="BB47" s="8">
        <v>1.56</v>
      </c>
      <c r="BC47" s="8">
        <v>0</v>
      </c>
      <c r="BD47" s="8">
        <v>516</v>
      </c>
    </row>
    <row r="48" spans="1:56" ht="15.75" customHeight="1">
      <c r="AN48" s="15">
        <v>45069</v>
      </c>
      <c r="AO48" s="69">
        <f t="shared" ref="AO48" si="8">+AO47+AU48</f>
        <v>0</v>
      </c>
      <c r="AP48" s="69">
        <f t="shared" ref="AP48" si="9">+AP47+AV48</f>
        <v>1934.3700000000001</v>
      </c>
      <c r="AQ48" s="69">
        <f t="shared" ref="AQ48" si="10">+AQ47+AW48</f>
        <v>1313.35</v>
      </c>
      <c r="AR48" s="69">
        <f t="shared" ref="AR48" si="11">+AR47+AX48</f>
        <v>1423.49</v>
      </c>
      <c r="AT48" s="15">
        <v>45069</v>
      </c>
      <c r="AU48" s="69">
        <v>0</v>
      </c>
      <c r="AV48" s="69">
        <v>0</v>
      </c>
      <c r="AW48" s="69">
        <v>75.84</v>
      </c>
      <c r="AX48" s="69">
        <v>50</v>
      </c>
      <c r="AZ48" s="15">
        <v>44704</v>
      </c>
      <c r="BA48" s="8">
        <v>1</v>
      </c>
      <c r="BB48" s="8">
        <v>1.36</v>
      </c>
      <c r="BC48" s="8">
        <v>0</v>
      </c>
      <c r="BD48" s="8">
        <v>543</v>
      </c>
    </row>
    <row r="49" spans="52:56" ht="15.75" customHeight="1">
      <c r="AZ49" s="15">
        <v>44735</v>
      </c>
      <c r="BA49" s="8"/>
      <c r="BB49" s="8"/>
      <c r="BC49" s="8"/>
      <c r="BD49" s="8"/>
    </row>
    <row r="50" spans="52:56" ht="15.75" customHeight="1">
      <c r="AZ50" s="15">
        <v>44765</v>
      </c>
      <c r="BA50" s="8"/>
      <c r="BB50" s="8"/>
      <c r="BC50" s="8"/>
      <c r="BD50" s="8"/>
    </row>
    <row r="51" spans="52:56" ht="15.75" customHeight="1">
      <c r="AZ51" s="15">
        <v>44796</v>
      </c>
      <c r="BA51" s="8"/>
      <c r="BB51" s="8"/>
      <c r="BC51" s="8"/>
      <c r="BD51" s="8"/>
    </row>
    <row r="52" spans="52:56" ht="15.75" customHeight="1">
      <c r="AZ52" s="15">
        <v>44827</v>
      </c>
      <c r="BA52" s="8"/>
      <c r="BB52" s="8"/>
      <c r="BC52" s="8"/>
      <c r="BD52" s="8"/>
    </row>
    <row r="53" spans="52:56" ht="15.75" customHeight="1"/>
    <row r="54" spans="52:56" ht="15.75" customHeight="1"/>
    <row r="55" spans="52:56" ht="15.75" customHeight="1"/>
    <row r="56" spans="52:56" ht="15.75" customHeight="1"/>
    <row r="57" spans="52:56" ht="15.75" customHeight="1"/>
    <row r="58" spans="52:56" ht="15.75" customHeight="1"/>
    <row r="59" spans="52:56" ht="15.75" customHeight="1"/>
    <row r="60" spans="52:56" ht="15.75" customHeight="1"/>
    <row r="61" spans="52:56" ht="15.75" customHeight="1"/>
    <row r="62" spans="52:56" ht="15.75" customHeight="1"/>
    <row r="63" spans="52:56" ht="15.75" customHeight="1"/>
    <row r="64" spans="52:5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5">
    <mergeCell ref="A1:AM1"/>
    <mergeCell ref="Y4:AA5"/>
    <mergeCell ref="AC4:AE5"/>
    <mergeCell ref="E4:G5"/>
    <mergeCell ref="E6:G6"/>
    <mergeCell ref="A3:AM3"/>
    <mergeCell ref="A4:C5"/>
    <mergeCell ref="I4:K5"/>
    <mergeCell ref="Q4:S5"/>
    <mergeCell ref="A6:C6"/>
    <mergeCell ref="I6:K6"/>
    <mergeCell ref="Q6:S6"/>
    <mergeCell ref="AG6:AI6"/>
    <mergeCell ref="AK6:AM6"/>
    <mergeCell ref="M6:O6"/>
    <mergeCell ref="U4:W5"/>
    <mergeCell ref="U6:W6"/>
    <mergeCell ref="Y6:AA6"/>
    <mergeCell ref="AC6:AE6"/>
    <mergeCell ref="G16:I16"/>
    <mergeCell ref="J8:K14"/>
    <mergeCell ref="G9:H9"/>
    <mergeCell ref="B15:F15"/>
    <mergeCell ref="G15:H15"/>
    <mergeCell ref="B9:F9"/>
    <mergeCell ref="B10:F10"/>
    <mergeCell ref="G10:H10"/>
    <mergeCell ref="B11:F11"/>
    <mergeCell ref="B19:F19"/>
    <mergeCell ref="B20:F20"/>
    <mergeCell ref="A18:A23"/>
    <mergeCell ref="B18:F18"/>
    <mergeCell ref="J18:K21"/>
    <mergeCell ref="G19:I19"/>
    <mergeCell ref="G18:I18"/>
    <mergeCell ref="J22:K23"/>
    <mergeCell ref="B23:F23"/>
    <mergeCell ref="G23:I23"/>
    <mergeCell ref="G22:I22"/>
    <mergeCell ref="B21:F21"/>
    <mergeCell ref="B22:F22"/>
    <mergeCell ref="G21:I21"/>
    <mergeCell ref="G20:I20"/>
    <mergeCell ref="A25:D25"/>
    <mergeCell ref="E25:K25"/>
    <mergeCell ref="A26:D26"/>
    <mergeCell ref="E26:K26"/>
    <mergeCell ref="A29:H37"/>
    <mergeCell ref="I29:W37"/>
    <mergeCell ref="A2:AM2"/>
    <mergeCell ref="A8:A16"/>
    <mergeCell ref="B8:F8"/>
    <mergeCell ref="G8:I8"/>
    <mergeCell ref="G11:H11"/>
    <mergeCell ref="B12:F12"/>
    <mergeCell ref="G12:H12"/>
    <mergeCell ref="B13:F13"/>
    <mergeCell ref="G13:H13"/>
    <mergeCell ref="B14:F14"/>
    <mergeCell ref="G14:I14"/>
    <mergeCell ref="AG4:AI5"/>
    <mergeCell ref="AK4:AM5"/>
    <mergeCell ref="M4:O5"/>
    <mergeCell ref="J15:K16"/>
    <mergeCell ref="B16:F16"/>
  </mergeCells>
  <pageMargins left="0.23622047244094491" right="0.23622047244094491" top="0.74803149606299213" bottom="0.15748031496062992" header="0" footer="0"/>
  <pageSetup orientation="landscape" r:id="rId1"/>
  <headerFooter>
    <oddHeader>&amp;LGerencia de Construcción de Vías y Puentes. 
Unidad Ejecutora&amp;CFecha informe: 15 de junio de 2023. 
Periodo que reporta: Mayo 2023.&amp;RAprobado por:    
Ing. Pablo Camacho Salazar</oddHeader>
  </headerFooter>
  <drawing r:id="rId2"/>
  <extLst>
    <ext xmlns:x14="http://schemas.microsoft.com/office/spreadsheetml/2009/9/main" uri="{CCE6A557-97BC-4b89-ADB6-D9C93CAAB3DF}">
      <x14:dataValidations xmlns:xm="http://schemas.microsoft.com/office/excel/2006/main" disablePrompts="1" count="2">
        <x14:dataValidation type="list" allowBlank="1" showErrorMessage="1" xr:uid="{00000000-0002-0000-0200-000000000000}">
          <x14:formula1>
            <xm:f>Sumario!$G$2:$G$41</xm:f>
          </x14:formula1>
          <xm:sqref>A3</xm:sqref>
        </x14:dataValidation>
        <x14:dataValidation type="list" allowBlank="1" showInputMessage="1" showErrorMessage="1" xr:uid="{F0D3EC4B-ECF1-4CE2-9E8E-3B5A28685732}">
          <x14:formula1>
            <xm:f>Sumario!$A$2:$A$41</xm:f>
          </x14:formula1>
          <xm:sqref>A1:AM1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CFD8-BE18-4536-B845-F2AD0932C4C0}">
  <dimension ref="A1:BJ1002"/>
  <sheetViews>
    <sheetView view="pageLayout" topLeftCell="A2" zoomScale="80" zoomScaleNormal="120" zoomScalePageLayoutView="80" workbookViewId="0">
      <selection activeCell="BG17" sqref="BG17"/>
    </sheetView>
  </sheetViews>
  <sheetFormatPr baseColWidth="10" defaultColWidth="14.42578125" defaultRowHeight="15" customHeight="1"/>
  <cols>
    <col min="1" max="10" width="3.42578125" style="48" customWidth="1"/>
    <col min="11" max="11" width="4.7109375" style="48" customWidth="1"/>
    <col min="12" max="38" width="3.42578125" style="48" customWidth="1"/>
    <col min="39" max="39" width="0.85546875" style="48" customWidth="1"/>
    <col min="40" max="44" width="10.7109375" style="48" customWidth="1"/>
    <col min="45" max="45" width="7.85546875" style="48" customWidth="1"/>
    <col min="46" max="61" width="10.7109375" style="48" customWidth="1"/>
    <col min="62" max="62" width="15.5703125" style="48" customWidth="1"/>
    <col min="63" max="16384" width="14.42578125" style="48"/>
  </cols>
  <sheetData>
    <row r="1" spans="1:62" ht="15" hidden="1" customHeight="1">
      <c r="A1" s="171">
        <v>8</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row>
    <row r="2" spans="1:62" ht="15" customHeight="1">
      <c r="A2" s="77" t="str">
        <f>+VLOOKUP(($A$1),Sumario!$A$2:$AW$41,6,(FALSE))</f>
        <v xml:space="preserve">2019LN-000012-0006000001  </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9"/>
    </row>
    <row r="3" spans="1:62" ht="15" customHeight="1">
      <c r="A3" s="178" t="str">
        <f>+VLOOKUP(($A$1),Sumario!$A$2:$AW$41,7,(FALSE))</f>
        <v xml:space="preserve">Mejoramiento del drenaje pluvial de las Rutas Nacionales N° 218 y N° 219, Loyola - Colegio Seráfico. </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89"/>
      <c r="AN3" s="2" t="s">
        <v>177</v>
      </c>
      <c r="AO3" s="1"/>
      <c r="AP3" s="1"/>
      <c r="AQ3" s="1"/>
      <c r="AR3" s="1"/>
      <c r="AS3" s="1"/>
      <c r="AZ3" s="3" t="s">
        <v>178</v>
      </c>
      <c r="BF3" s="3" t="s">
        <v>179</v>
      </c>
    </row>
    <row r="4" spans="1:62">
      <c r="A4" s="172">
        <f>+VLOOKUP(($A$1),Sumario!$A$2:$AW$41,18,(FALSE))</f>
        <v>0</v>
      </c>
      <c r="B4" s="173"/>
      <c r="C4" s="174"/>
      <c r="D4" s="1"/>
      <c r="E4" s="172">
        <f>+VLOOKUP(($A$1),Sumario!$A$2:$AW$41,20,(FALSE))</f>
        <v>0</v>
      </c>
      <c r="F4" s="173"/>
      <c r="G4" s="174"/>
      <c r="H4" s="1"/>
      <c r="I4" s="172">
        <f>+VLOOKUP(($A$1),Sumario!$A$2:$AW$41,19,(FALSE))</f>
        <v>0</v>
      </c>
      <c r="J4" s="173"/>
      <c r="K4" s="174"/>
      <c r="L4" s="1"/>
      <c r="M4" s="104">
        <f>+VLOOKUP(($A$1),Sumario!$A$2:$AW$41,14,(FALSE))</f>
        <v>1617.2436623589999</v>
      </c>
      <c r="N4" s="105"/>
      <c r="O4" s="106"/>
      <c r="P4" s="1"/>
      <c r="Q4" s="104">
        <f>+VLOOKUP(($A$1),Sumario!$A$2:$AW$41,21,(FALSE))</f>
        <v>0</v>
      </c>
      <c r="R4" s="105"/>
      <c r="S4" s="106"/>
      <c r="T4" s="1"/>
      <c r="U4" s="104">
        <f>+VLOOKUP(($A$1),Sumario!$A$2:$AW$41,22,(FALSE))</f>
        <v>0</v>
      </c>
      <c r="V4" s="105"/>
      <c r="W4" s="106"/>
      <c r="X4" s="1"/>
      <c r="Y4" s="98">
        <f>+VLOOKUP(($A$1),Sumario!$A$2:$AW$41,28,(FALSE))</f>
        <v>0</v>
      </c>
      <c r="Z4" s="99"/>
      <c r="AA4" s="100"/>
      <c r="AB4" s="1"/>
      <c r="AC4" s="98">
        <f>+VLOOKUP(($A$1),Sumario!$A$2:$AW$41,25,(FALSE))</f>
        <v>0</v>
      </c>
      <c r="AD4" s="99"/>
      <c r="AE4" s="100"/>
      <c r="AF4" s="1"/>
      <c r="AG4" s="98">
        <f>+VLOOKUP(($A$1),Sumario!$A$2:$AW$41,26,(FALSE))</f>
        <v>0</v>
      </c>
      <c r="AH4" s="99"/>
      <c r="AI4" s="100"/>
      <c r="AJ4" s="1"/>
      <c r="AK4" s="98">
        <f>+VLOOKUP(($A$1),Sumario!$A$2:$AW$41,27,(FALSE))</f>
        <v>1</v>
      </c>
      <c r="AL4" s="99"/>
      <c r="AM4" s="100"/>
      <c r="AN4" s="1" t="s">
        <v>180</v>
      </c>
      <c r="AO4" s="1"/>
      <c r="AP4" s="1"/>
      <c r="AQ4" s="1"/>
      <c r="AR4" s="1"/>
      <c r="AS4" s="1"/>
      <c r="AT4" s="1" t="s">
        <v>181</v>
      </c>
      <c r="AU4" s="1"/>
      <c r="AV4" s="1"/>
      <c r="AW4" s="1"/>
      <c r="AX4" s="1"/>
      <c r="AY4" s="1"/>
    </row>
    <row r="5" spans="1:62">
      <c r="A5" s="175"/>
      <c r="B5" s="176"/>
      <c r="C5" s="177"/>
      <c r="D5" s="4"/>
      <c r="E5" s="175"/>
      <c r="F5" s="176"/>
      <c r="G5" s="177"/>
      <c r="H5" s="1"/>
      <c r="I5" s="175"/>
      <c r="J5" s="176"/>
      <c r="K5" s="177"/>
      <c r="L5" s="1"/>
      <c r="M5" s="107"/>
      <c r="N5" s="108"/>
      <c r="O5" s="109"/>
      <c r="P5" s="1"/>
      <c r="Q5" s="107"/>
      <c r="R5" s="108"/>
      <c r="S5" s="109"/>
      <c r="T5" s="1"/>
      <c r="U5" s="107"/>
      <c r="V5" s="108"/>
      <c r="W5" s="109"/>
      <c r="X5" s="1"/>
      <c r="Y5" s="101"/>
      <c r="Z5" s="102"/>
      <c r="AA5" s="103"/>
      <c r="AB5" s="1"/>
      <c r="AC5" s="101"/>
      <c r="AD5" s="102"/>
      <c r="AE5" s="103"/>
      <c r="AF5" s="1"/>
      <c r="AG5" s="101"/>
      <c r="AH5" s="102"/>
      <c r="AI5" s="103"/>
      <c r="AJ5" s="1"/>
      <c r="AK5" s="101"/>
      <c r="AL5" s="102"/>
      <c r="AM5" s="103"/>
      <c r="AN5" s="5" t="s">
        <v>189</v>
      </c>
      <c r="AO5" s="6" t="s">
        <v>182</v>
      </c>
      <c r="AP5" s="6" t="s">
        <v>183</v>
      </c>
      <c r="AQ5" s="6" t="s">
        <v>184</v>
      </c>
      <c r="AR5" s="6" t="s">
        <v>185</v>
      </c>
      <c r="AS5" s="7"/>
      <c r="AT5" s="5" t="s">
        <v>189</v>
      </c>
      <c r="AU5" s="6" t="s">
        <v>186</v>
      </c>
      <c r="AV5" s="6" t="s">
        <v>183</v>
      </c>
      <c r="AW5" s="6" t="s">
        <v>187</v>
      </c>
      <c r="AX5" s="6" t="s">
        <v>188</v>
      </c>
      <c r="AZ5" s="6" t="s">
        <v>189</v>
      </c>
      <c r="BA5" s="6" t="s">
        <v>190</v>
      </c>
      <c r="BB5" s="6" t="s">
        <v>191</v>
      </c>
      <c r="BC5" s="6" t="s">
        <v>192</v>
      </c>
      <c r="BD5" s="6" t="s">
        <v>193</v>
      </c>
      <c r="BF5" s="5" t="s">
        <v>189</v>
      </c>
      <c r="BG5" s="6" t="s">
        <v>194</v>
      </c>
      <c r="BH5" s="6" t="s">
        <v>183</v>
      </c>
      <c r="BI5" s="6" t="s">
        <v>195</v>
      </c>
      <c r="BJ5" s="6" t="s">
        <v>196</v>
      </c>
    </row>
    <row r="6" spans="1:62">
      <c r="A6" s="164" t="s">
        <v>197</v>
      </c>
      <c r="B6" s="91"/>
      <c r="C6" s="118"/>
      <c r="D6" s="1"/>
      <c r="E6" s="164" t="s">
        <v>198</v>
      </c>
      <c r="F6" s="91"/>
      <c r="G6" s="118"/>
      <c r="H6" s="1"/>
      <c r="I6" s="164" t="s">
        <v>199</v>
      </c>
      <c r="J6" s="91"/>
      <c r="K6" s="118"/>
      <c r="L6" s="1"/>
      <c r="M6" s="164" t="s">
        <v>200</v>
      </c>
      <c r="N6" s="91"/>
      <c r="O6" s="118"/>
      <c r="P6" s="1"/>
      <c r="Q6" s="164" t="s">
        <v>201</v>
      </c>
      <c r="R6" s="91"/>
      <c r="S6" s="118"/>
      <c r="T6" s="1"/>
      <c r="U6" s="164" t="s">
        <v>202</v>
      </c>
      <c r="V6" s="91"/>
      <c r="W6" s="118"/>
      <c r="X6" s="1"/>
      <c r="Y6" s="164" t="s">
        <v>193</v>
      </c>
      <c r="Z6" s="91"/>
      <c r="AA6" s="118"/>
      <c r="AB6" s="1"/>
      <c r="AC6" s="164" t="s">
        <v>190</v>
      </c>
      <c r="AD6" s="91"/>
      <c r="AE6" s="118"/>
      <c r="AF6" s="1"/>
      <c r="AG6" s="164" t="s">
        <v>191</v>
      </c>
      <c r="AH6" s="91"/>
      <c r="AI6" s="118"/>
      <c r="AJ6" s="1"/>
      <c r="AK6" s="164" t="s">
        <v>192</v>
      </c>
      <c r="AL6" s="91"/>
      <c r="AM6" s="118"/>
      <c r="AN6" s="70" t="s">
        <v>286</v>
      </c>
      <c r="AO6" s="16">
        <f>AU6</f>
        <v>15.4</v>
      </c>
      <c r="AP6" s="16">
        <f t="shared" ref="AP6:AR6" si="0">+AV6</f>
        <v>1431</v>
      </c>
      <c r="AQ6" s="16">
        <f t="shared" si="0"/>
        <v>0</v>
      </c>
      <c r="AR6" s="16">
        <f t="shared" si="0"/>
        <v>0</v>
      </c>
      <c r="AT6" s="70" t="s">
        <v>286</v>
      </c>
      <c r="AU6" s="72">
        <v>15.4</v>
      </c>
      <c r="AV6" s="72">
        <v>1431</v>
      </c>
      <c r="AW6" s="72">
        <v>0</v>
      </c>
      <c r="AX6" s="72">
        <v>0</v>
      </c>
      <c r="AZ6" s="70" t="s">
        <v>286</v>
      </c>
      <c r="BA6" s="8">
        <v>0</v>
      </c>
      <c r="BB6" s="8">
        <v>0</v>
      </c>
      <c r="BC6" s="8">
        <v>1</v>
      </c>
      <c r="BD6" s="8">
        <v>0</v>
      </c>
      <c r="BF6" s="70" t="s">
        <v>286</v>
      </c>
      <c r="BG6" s="16">
        <f>+AO6</f>
        <v>15.4</v>
      </c>
      <c r="BH6" s="16">
        <f t="shared" ref="BH6:BJ8" si="1">+AP6</f>
        <v>1431</v>
      </c>
      <c r="BI6" s="16">
        <f t="shared" si="1"/>
        <v>0</v>
      </c>
      <c r="BJ6" s="16">
        <f t="shared" si="1"/>
        <v>0</v>
      </c>
    </row>
    <row r="7" spans="1:62" ht="15.75"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70" t="s">
        <v>283</v>
      </c>
      <c r="AO7" s="16">
        <f t="shared" ref="AO7:AR16" si="2">+AO6+AU7</f>
        <v>152.1</v>
      </c>
      <c r="AP7" s="16">
        <f t="shared" si="2"/>
        <v>1431</v>
      </c>
      <c r="AQ7" s="16">
        <f t="shared" si="2"/>
        <v>0</v>
      </c>
      <c r="AR7" s="16">
        <f t="shared" si="2"/>
        <v>0</v>
      </c>
      <c r="AT7" s="70" t="s">
        <v>283</v>
      </c>
      <c r="AU7" s="72">
        <v>136.69999999999999</v>
      </c>
      <c r="AV7" s="72">
        <v>0</v>
      </c>
      <c r="AW7" s="72">
        <v>0</v>
      </c>
      <c r="AX7" s="72">
        <v>0</v>
      </c>
      <c r="AZ7" s="70" t="s">
        <v>283</v>
      </c>
      <c r="BA7" s="8">
        <v>0</v>
      </c>
      <c r="BB7" s="8">
        <v>0</v>
      </c>
      <c r="BC7" s="8">
        <v>1</v>
      </c>
      <c r="BD7" s="8">
        <v>0</v>
      </c>
      <c r="BF7" s="70" t="s">
        <v>283</v>
      </c>
      <c r="BG7" s="16">
        <f t="shared" ref="BG7:BG8" si="3">+AO7</f>
        <v>152.1</v>
      </c>
      <c r="BH7" s="16">
        <f t="shared" si="1"/>
        <v>1431</v>
      </c>
      <c r="BI7" s="16">
        <f t="shared" si="1"/>
        <v>0</v>
      </c>
      <c r="BJ7" s="16">
        <f t="shared" si="1"/>
        <v>0</v>
      </c>
    </row>
    <row r="8" spans="1:62">
      <c r="A8" s="80" t="s">
        <v>203</v>
      </c>
      <c r="B8" s="83" t="s">
        <v>204</v>
      </c>
      <c r="C8" s="84"/>
      <c r="D8" s="84"/>
      <c r="E8" s="84"/>
      <c r="F8" s="85"/>
      <c r="G8" s="86">
        <f>+VLOOKUP(($A$1),Sumario!$A$2:$AW$41,30,(FALSE))</f>
        <v>44582</v>
      </c>
      <c r="H8" s="84"/>
      <c r="I8" s="87"/>
      <c r="J8" s="168">
        <f>G15/G13</f>
        <v>4.5584045584045586E-2</v>
      </c>
      <c r="K8" s="121"/>
      <c r="L8" s="1"/>
      <c r="M8" s="1"/>
      <c r="N8" s="1"/>
      <c r="O8" s="1"/>
      <c r="P8" s="1"/>
      <c r="Q8" s="1"/>
      <c r="R8" s="1"/>
      <c r="S8" s="1"/>
      <c r="T8" s="1"/>
      <c r="U8" s="1"/>
      <c r="V8" s="1"/>
      <c r="W8" s="1"/>
      <c r="X8" s="1"/>
      <c r="Y8" s="1"/>
      <c r="Z8" s="1"/>
      <c r="AA8" s="1"/>
      <c r="AB8" s="1"/>
      <c r="AC8" s="1"/>
      <c r="AD8" s="1"/>
      <c r="AE8" s="1"/>
      <c r="AF8" s="1"/>
      <c r="AG8" s="1"/>
      <c r="AH8" s="1"/>
      <c r="AI8" s="1"/>
      <c r="AJ8" s="1"/>
      <c r="AK8" s="1"/>
      <c r="AL8" s="1"/>
      <c r="AM8" s="1"/>
      <c r="AN8" s="70" t="s">
        <v>284</v>
      </c>
      <c r="AO8" s="16">
        <f t="shared" si="2"/>
        <v>355.4</v>
      </c>
      <c r="AP8" s="16">
        <f t="shared" si="2"/>
        <v>1431</v>
      </c>
      <c r="AQ8" s="16">
        <f t="shared" si="2"/>
        <v>0</v>
      </c>
      <c r="AR8" s="16">
        <f t="shared" si="2"/>
        <v>0</v>
      </c>
      <c r="AT8" s="70" t="s">
        <v>284</v>
      </c>
      <c r="AU8" s="72">
        <v>203.3</v>
      </c>
      <c r="AV8" s="72">
        <v>0</v>
      </c>
      <c r="AW8" s="72">
        <v>0</v>
      </c>
      <c r="AX8" s="72">
        <v>0</v>
      </c>
      <c r="AZ8" s="70" t="s">
        <v>284</v>
      </c>
      <c r="BA8" s="8">
        <v>0</v>
      </c>
      <c r="BB8" s="8">
        <v>0</v>
      </c>
      <c r="BC8" s="8">
        <v>0</v>
      </c>
      <c r="BD8" s="8">
        <v>0</v>
      </c>
      <c r="BF8" s="70" t="s">
        <v>284</v>
      </c>
      <c r="BG8" s="16">
        <f t="shared" si="3"/>
        <v>355.4</v>
      </c>
      <c r="BH8" s="16">
        <f t="shared" si="1"/>
        <v>1431</v>
      </c>
      <c r="BI8" s="16">
        <f t="shared" si="1"/>
        <v>0</v>
      </c>
      <c r="BJ8" s="16">
        <f t="shared" si="1"/>
        <v>0</v>
      </c>
    </row>
    <row r="9" spans="1:62">
      <c r="A9" s="81"/>
      <c r="B9" s="90" t="s">
        <v>205</v>
      </c>
      <c r="C9" s="91"/>
      <c r="D9" s="91"/>
      <c r="E9" s="91"/>
      <c r="F9" s="92"/>
      <c r="G9" s="93">
        <f>+VLOOKUP(($A$1),Sumario!$A$2:$AW$41,31,(FALSE))</f>
        <v>250</v>
      </c>
      <c r="H9" s="92"/>
      <c r="I9" s="9" t="s">
        <v>206</v>
      </c>
      <c r="J9" s="169"/>
      <c r="K9" s="123"/>
      <c r="L9" s="1"/>
      <c r="M9" s="1"/>
      <c r="N9" s="1"/>
      <c r="O9" s="1"/>
      <c r="P9" s="1"/>
      <c r="Q9" s="1"/>
      <c r="R9" s="1"/>
      <c r="S9" s="1"/>
      <c r="T9" s="1"/>
      <c r="U9" s="1"/>
      <c r="V9" s="1"/>
      <c r="W9" s="1"/>
      <c r="X9" s="1"/>
      <c r="Y9" s="1"/>
      <c r="Z9" s="1"/>
      <c r="AA9" s="1"/>
      <c r="AB9" s="1"/>
      <c r="AC9" s="1"/>
      <c r="AD9" s="1"/>
      <c r="AE9" s="1"/>
      <c r="AF9" s="1"/>
      <c r="AG9" s="1"/>
      <c r="AH9" s="1"/>
      <c r="AI9" s="1"/>
      <c r="AJ9" s="1"/>
      <c r="AK9" s="1"/>
      <c r="AL9" s="1"/>
      <c r="AM9" s="1"/>
      <c r="AN9" s="70" t="s">
        <v>285</v>
      </c>
      <c r="AO9" s="16">
        <f t="shared" si="2"/>
        <v>621.14</v>
      </c>
      <c r="AP9" s="16">
        <f t="shared" si="2"/>
        <v>1431</v>
      </c>
      <c r="AQ9" s="16">
        <f t="shared" si="2"/>
        <v>0</v>
      </c>
      <c r="AR9" s="16">
        <f t="shared" si="2"/>
        <v>0</v>
      </c>
      <c r="AT9" s="70" t="s">
        <v>285</v>
      </c>
      <c r="AU9" s="72">
        <v>265.74</v>
      </c>
      <c r="AV9" s="72">
        <v>0</v>
      </c>
      <c r="AW9" s="72">
        <v>0</v>
      </c>
      <c r="AX9" s="72">
        <v>0</v>
      </c>
      <c r="AZ9" s="70" t="s">
        <v>285</v>
      </c>
      <c r="BA9" s="8">
        <v>0</v>
      </c>
      <c r="BB9" s="8">
        <v>0</v>
      </c>
      <c r="BC9" s="8">
        <v>0</v>
      </c>
      <c r="BD9" s="8">
        <v>0</v>
      </c>
    </row>
    <row r="10" spans="1:62">
      <c r="A10" s="81"/>
      <c r="B10" s="90" t="s">
        <v>207</v>
      </c>
      <c r="C10" s="91"/>
      <c r="D10" s="91"/>
      <c r="E10" s="91"/>
      <c r="F10" s="92"/>
      <c r="G10" s="93">
        <f>+VLOOKUP(($A$1),Sumario!$A$2:$AW$41,42,(FALSE))</f>
        <v>31</v>
      </c>
      <c r="H10" s="92"/>
      <c r="I10" s="9" t="s">
        <v>206</v>
      </c>
      <c r="J10" s="169"/>
      <c r="K10" s="1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70" t="s">
        <v>287</v>
      </c>
      <c r="AO10" s="16">
        <f t="shared" si="2"/>
        <v>752.94</v>
      </c>
      <c r="AP10" s="16">
        <f t="shared" si="2"/>
        <v>1431</v>
      </c>
      <c r="AQ10" s="16">
        <f t="shared" si="2"/>
        <v>0</v>
      </c>
      <c r="AR10" s="16">
        <f t="shared" si="2"/>
        <v>0</v>
      </c>
      <c r="AT10" s="70" t="s">
        <v>287</v>
      </c>
      <c r="AU10" s="72">
        <v>131.80000000000001</v>
      </c>
      <c r="AV10" s="72">
        <v>0</v>
      </c>
      <c r="AW10" s="72">
        <v>0</v>
      </c>
      <c r="AX10" s="72">
        <v>0</v>
      </c>
      <c r="AZ10" s="15"/>
      <c r="BA10" s="8"/>
      <c r="BB10" s="8"/>
      <c r="BC10" s="8"/>
      <c r="BD10" s="8"/>
    </row>
    <row r="11" spans="1:62">
      <c r="A11" s="81"/>
      <c r="B11" s="90" t="s">
        <v>208</v>
      </c>
      <c r="C11" s="91"/>
      <c r="D11" s="91"/>
      <c r="E11" s="91"/>
      <c r="F11" s="92"/>
      <c r="G11" s="88">
        <f>+VLOOKUP(($A$1),Sumario!$A$2:$AZ$41,51,(FALSE))</f>
        <v>356</v>
      </c>
      <c r="H11" s="89"/>
      <c r="I11" s="10" t="s">
        <v>206</v>
      </c>
      <c r="J11" s="169"/>
      <c r="K11" s="1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71">
        <v>45170</v>
      </c>
      <c r="AO11" s="16">
        <f t="shared" si="2"/>
        <v>815.04000000000008</v>
      </c>
      <c r="AP11" s="16">
        <f t="shared" si="2"/>
        <v>1431</v>
      </c>
      <c r="AQ11" s="16">
        <f t="shared" si="2"/>
        <v>0</v>
      </c>
      <c r="AR11" s="16">
        <f t="shared" si="2"/>
        <v>0</v>
      </c>
      <c r="AT11" s="71">
        <v>45170</v>
      </c>
      <c r="AU11" s="72">
        <v>62.1</v>
      </c>
      <c r="AV11" s="72">
        <v>0</v>
      </c>
      <c r="AW11" s="72">
        <v>0</v>
      </c>
      <c r="AX11" s="72">
        <v>0</v>
      </c>
      <c r="AZ11" s="15"/>
      <c r="BA11" s="8"/>
      <c r="BB11" s="8"/>
      <c r="BC11" s="8"/>
      <c r="BD11" s="8"/>
    </row>
    <row r="12" spans="1:62">
      <c r="A12" s="81"/>
      <c r="B12" s="90" t="s">
        <v>209</v>
      </c>
      <c r="C12" s="91"/>
      <c r="D12" s="91"/>
      <c r="E12" s="91"/>
      <c r="F12" s="92"/>
      <c r="G12" s="93">
        <f>+VLOOKUP(($A$1),Sumario!$A$2:$AW$41,43,(FALSE))</f>
        <v>70</v>
      </c>
      <c r="H12" s="92"/>
      <c r="I12" s="9" t="s">
        <v>206</v>
      </c>
      <c r="J12" s="169"/>
      <c r="K12" s="1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43">
        <v>45200</v>
      </c>
      <c r="AO12" s="16">
        <f t="shared" si="2"/>
        <v>970.04000000000008</v>
      </c>
      <c r="AP12" s="16">
        <f t="shared" si="2"/>
        <v>1431</v>
      </c>
      <c r="AQ12" s="16">
        <f t="shared" si="2"/>
        <v>0</v>
      </c>
      <c r="AR12" s="16">
        <f t="shared" si="2"/>
        <v>0</v>
      </c>
      <c r="AT12" s="43">
        <v>45200</v>
      </c>
      <c r="AU12" s="72">
        <v>155</v>
      </c>
      <c r="AV12" s="72">
        <v>0</v>
      </c>
      <c r="AW12" s="72">
        <v>0</v>
      </c>
      <c r="AX12" s="72">
        <v>0</v>
      </c>
      <c r="AZ12" s="15"/>
      <c r="BA12" s="8"/>
      <c r="BB12" s="8"/>
      <c r="BC12" s="8"/>
      <c r="BD12" s="8"/>
    </row>
    <row r="13" spans="1:62">
      <c r="A13" s="81"/>
      <c r="B13" s="90" t="s">
        <v>210</v>
      </c>
      <c r="C13" s="91"/>
      <c r="D13" s="91"/>
      <c r="E13" s="91"/>
      <c r="F13" s="92"/>
      <c r="G13" s="94">
        <f>+VLOOKUP(($A$1),Sumario!$A$2:$AW$41,44,(FALSE))</f>
        <v>351</v>
      </c>
      <c r="H13" s="95"/>
      <c r="I13" s="37" t="s">
        <v>206</v>
      </c>
      <c r="J13" s="169"/>
      <c r="K13" s="12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43">
        <v>45231</v>
      </c>
      <c r="AO13" s="16">
        <f t="shared" si="2"/>
        <v>1121.1400000000001</v>
      </c>
      <c r="AP13" s="16">
        <f t="shared" si="2"/>
        <v>1431</v>
      </c>
      <c r="AQ13" s="16">
        <f t="shared" si="2"/>
        <v>0</v>
      </c>
      <c r="AR13" s="16">
        <f t="shared" si="2"/>
        <v>0</v>
      </c>
      <c r="AT13" s="43">
        <v>45231</v>
      </c>
      <c r="AU13" s="72">
        <v>151.1</v>
      </c>
      <c r="AV13" s="72">
        <v>0</v>
      </c>
      <c r="AW13" s="72">
        <v>0</v>
      </c>
      <c r="AX13" s="72">
        <v>0</v>
      </c>
      <c r="AZ13" s="15"/>
      <c r="BA13" s="8"/>
      <c r="BB13" s="8"/>
      <c r="BC13" s="8"/>
      <c r="BD13" s="8"/>
    </row>
    <row r="14" spans="1:62">
      <c r="A14" s="81"/>
      <c r="B14" s="90" t="s">
        <v>211</v>
      </c>
      <c r="C14" s="91"/>
      <c r="D14" s="91"/>
      <c r="E14" s="91"/>
      <c r="F14" s="92"/>
      <c r="G14" s="96">
        <f>+VLOOKUP(($A$1),Sumario!$A$2:$AZ$41,50,(FALSE))</f>
        <v>44910</v>
      </c>
      <c r="H14" s="97"/>
      <c r="I14" s="97"/>
      <c r="J14" s="163"/>
      <c r="K14" s="17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43">
        <v>45261</v>
      </c>
      <c r="AO14" s="16">
        <f t="shared" si="2"/>
        <v>1315.74</v>
      </c>
      <c r="AP14" s="16">
        <f t="shared" si="2"/>
        <v>1431</v>
      </c>
      <c r="AQ14" s="16">
        <f t="shared" si="2"/>
        <v>0</v>
      </c>
      <c r="AR14" s="16">
        <f t="shared" si="2"/>
        <v>0</v>
      </c>
      <c r="AT14" s="43">
        <v>45261</v>
      </c>
      <c r="AU14" s="72">
        <v>194.6</v>
      </c>
      <c r="AV14" s="72">
        <v>0</v>
      </c>
      <c r="AW14" s="72">
        <v>0</v>
      </c>
      <c r="AX14" s="72">
        <v>0</v>
      </c>
      <c r="AZ14" s="15"/>
      <c r="BA14" s="8"/>
      <c r="BB14" s="8"/>
      <c r="BC14" s="8"/>
      <c r="BD14" s="8"/>
    </row>
    <row r="15" spans="1:62" ht="15" customHeight="1">
      <c r="A15" s="81"/>
      <c r="B15" s="161" t="s">
        <v>212</v>
      </c>
      <c r="C15" s="91"/>
      <c r="D15" s="91"/>
      <c r="E15" s="91"/>
      <c r="F15" s="92"/>
      <c r="G15" s="162">
        <f>+VLOOKUP(($A$1),Sumario!$A$2:$AW$41,45,(FALSE))</f>
        <v>16</v>
      </c>
      <c r="H15" s="163"/>
      <c r="I15" s="38" t="s">
        <v>206</v>
      </c>
      <c r="J15" s="110" t="s">
        <v>213</v>
      </c>
      <c r="K15" s="11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43">
        <v>45292</v>
      </c>
      <c r="AO15" s="16">
        <f t="shared" si="2"/>
        <v>1413.54</v>
      </c>
      <c r="AP15" s="16">
        <f t="shared" si="2"/>
        <v>1431</v>
      </c>
      <c r="AQ15" s="16">
        <f t="shared" si="2"/>
        <v>0</v>
      </c>
      <c r="AR15" s="16">
        <f t="shared" si="2"/>
        <v>0</v>
      </c>
      <c r="AT15" s="43">
        <v>45292</v>
      </c>
      <c r="AU15" s="72">
        <v>97.8</v>
      </c>
      <c r="AV15" s="72">
        <v>0</v>
      </c>
      <c r="AW15" s="72">
        <v>0</v>
      </c>
      <c r="AX15" s="72">
        <v>0</v>
      </c>
      <c r="AZ15" s="15"/>
      <c r="BA15" s="8"/>
      <c r="BB15" s="8"/>
      <c r="BC15" s="8"/>
      <c r="BD15" s="8"/>
    </row>
    <row r="16" spans="1:62" ht="15.75" thickBot="1">
      <c r="A16" s="82"/>
      <c r="B16" s="114" t="s">
        <v>214</v>
      </c>
      <c r="C16" s="115"/>
      <c r="D16" s="115"/>
      <c r="E16" s="115"/>
      <c r="F16" s="116"/>
      <c r="G16" s="165">
        <f>+VLOOKUP(($A$1),Sumario!$A$2:$AW$41,32,(FALSE))</f>
        <v>45324</v>
      </c>
      <c r="H16" s="166"/>
      <c r="I16" s="167"/>
      <c r="J16" s="112"/>
      <c r="K16" s="1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43">
        <v>45323</v>
      </c>
      <c r="AO16" s="16">
        <f t="shared" si="2"/>
        <v>1428.34</v>
      </c>
      <c r="AP16" s="16">
        <f t="shared" si="2"/>
        <v>1431</v>
      </c>
      <c r="AQ16" s="16">
        <f t="shared" si="2"/>
        <v>0</v>
      </c>
      <c r="AR16" s="16">
        <f t="shared" si="2"/>
        <v>0</v>
      </c>
      <c r="AT16" s="43">
        <v>45323</v>
      </c>
      <c r="AU16" s="72">
        <v>14.8</v>
      </c>
      <c r="AV16" s="72">
        <v>0</v>
      </c>
      <c r="AW16" s="72">
        <v>0</v>
      </c>
      <c r="AX16" s="72">
        <v>0</v>
      </c>
      <c r="AZ16" s="17"/>
      <c r="BA16" s="8"/>
      <c r="BB16" s="8"/>
      <c r="BC16" s="8"/>
      <c r="BD16" s="8"/>
    </row>
    <row r="17" spans="1:56" ht="15.75" thickBo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70"/>
      <c r="AO17" s="16"/>
      <c r="AP17" s="16"/>
      <c r="AQ17" s="16"/>
      <c r="AR17" s="16"/>
      <c r="AT17" s="45"/>
      <c r="AU17" s="16"/>
      <c r="AV17" s="16"/>
      <c r="AW17" s="16"/>
      <c r="AX17" s="16"/>
      <c r="AZ17" s="15"/>
      <c r="BA17" s="8"/>
      <c r="BB17" s="8"/>
      <c r="BC17" s="8"/>
      <c r="BD17" s="8"/>
    </row>
    <row r="18" spans="1:56">
      <c r="A18" s="134" t="s">
        <v>215</v>
      </c>
      <c r="B18" s="137" t="s">
        <v>216</v>
      </c>
      <c r="C18" s="138"/>
      <c r="D18" s="138"/>
      <c r="E18" s="138"/>
      <c r="F18" s="138"/>
      <c r="G18" s="148">
        <f>+VLOOKUP(($A$1),Sumario!$A$2:$AW$41,12,(FALSE))</f>
        <v>1228021054.039</v>
      </c>
      <c r="H18" s="149"/>
      <c r="I18" s="150"/>
      <c r="J18" s="139">
        <f>G22/G21</f>
        <v>0</v>
      </c>
      <c r="K18" s="14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70"/>
      <c r="AO18" s="16"/>
      <c r="AP18" s="16"/>
      <c r="AQ18" s="16"/>
      <c r="AR18" s="16"/>
      <c r="AT18" s="45"/>
      <c r="AU18" s="16"/>
      <c r="AV18" s="16"/>
      <c r="AW18" s="16"/>
      <c r="AX18" s="16"/>
      <c r="AZ18" s="15"/>
      <c r="BA18" s="8"/>
      <c r="BB18" s="8"/>
      <c r="BC18" s="8"/>
      <c r="BD18" s="8"/>
    </row>
    <row r="19" spans="1:56">
      <c r="A19" s="135"/>
      <c r="B19" s="90" t="s">
        <v>217</v>
      </c>
      <c r="C19" s="92"/>
      <c r="D19" s="92"/>
      <c r="E19" s="92"/>
      <c r="F19" s="92"/>
      <c r="G19" s="145">
        <f>+VLOOKUP(($A$1),Sumario!$A$2:$AW$41,35,(FALSE))</f>
        <v>389222608.31999999</v>
      </c>
      <c r="H19" s="146"/>
      <c r="I19" s="147"/>
      <c r="J19" s="141"/>
      <c r="K19" s="14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70"/>
      <c r="AO19" s="16"/>
      <c r="AP19" s="16"/>
      <c r="AQ19" s="16"/>
      <c r="AR19" s="16"/>
      <c r="AT19" s="45"/>
      <c r="AU19" s="16"/>
      <c r="AV19" s="16"/>
      <c r="AW19" s="16"/>
      <c r="AX19" s="16"/>
      <c r="AZ19" s="15"/>
      <c r="BA19" s="8"/>
      <c r="BB19" s="8"/>
      <c r="BC19" s="8"/>
      <c r="BD19" s="8"/>
    </row>
    <row r="20" spans="1:56">
      <c r="A20" s="135"/>
      <c r="B20" s="90" t="s">
        <v>218</v>
      </c>
      <c r="C20" s="92"/>
      <c r="D20" s="92"/>
      <c r="E20" s="92"/>
      <c r="F20" s="92"/>
      <c r="G20" s="145">
        <f>+VLOOKUP(($A$1),Sumario!$A$2:$AW$41,37,(FALSE))</f>
        <v>0</v>
      </c>
      <c r="H20" s="146"/>
      <c r="I20" s="147"/>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70"/>
      <c r="AO20" s="16"/>
      <c r="AP20" s="16"/>
      <c r="AQ20" s="16"/>
      <c r="AR20" s="16"/>
      <c r="AT20" s="45"/>
      <c r="AU20" s="16"/>
      <c r="AV20" s="16"/>
      <c r="AW20" s="16"/>
      <c r="AX20" s="16"/>
      <c r="AZ20" s="15"/>
      <c r="BA20" s="8"/>
      <c r="BB20" s="8"/>
      <c r="BC20" s="8"/>
      <c r="BD20" s="8"/>
    </row>
    <row r="21" spans="1:56">
      <c r="A21" s="135"/>
      <c r="B21" s="161" t="s">
        <v>219</v>
      </c>
      <c r="C21" s="92"/>
      <c r="D21" s="92"/>
      <c r="E21" s="92"/>
      <c r="F21" s="92"/>
      <c r="G21" s="160">
        <f>+G18+G19+G20</f>
        <v>1617243662.359</v>
      </c>
      <c r="H21" s="146"/>
      <c r="I21" s="147"/>
      <c r="J21" s="143"/>
      <c r="K21" s="14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70"/>
      <c r="AO21" s="16"/>
      <c r="AP21" s="16"/>
      <c r="AQ21" s="16"/>
      <c r="AR21" s="16"/>
      <c r="AT21" s="45"/>
      <c r="AU21" s="16"/>
      <c r="AV21" s="16"/>
      <c r="AW21" s="16"/>
      <c r="AX21" s="16"/>
      <c r="AZ21" s="15"/>
      <c r="BA21" s="8"/>
      <c r="BB21" s="8"/>
      <c r="BC21" s="8"/>
      <c r="BD21" s="8"/>
    </row>
    <row r="22" spans="1:56">
      <c r="A22" s="135"/>
      <c r="B22" s="161" t="s">
        <v>220</v>
      </c>
      <c r="C22" s="92"/>
      <c r="D22" s="92"/>
      <c r="E22" s="92"/>
      <c r="F22" s="92"/>
      <c r="G22" s="160">
        <f>+VLOOKUP(($A$1),Sumario!$A$2:$AW$41,39,(FALSE))</f>
        <v>0</v>
      </c>
      <c r="H22" s="146"/>
      <c r="I22" s="147"/>
      <c r="J22" s="151" t="s">
        <v>221</v>
      </c>
      <c r="K22" s="1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70"/>
      <c r="AO22" s="16"/>
      <c r="AP22" s="16"/>
      <c r="AQ22" s="16"/>
      <c r="AR22" s="16"/>
      <c r="AT22" s="45"/>
      <c r="AU22" s="16"/>
      <c r="AV22" s="16"/>
      <c r="AW22" s="16"/>
      <c r="AX22" s="16"/>
      <c r="AZ22" s="15"/>
      <c r="BA22" s="41"/>
      <c r="BB22" s="41"/>
      <c r="BC22" s="41"/>
      <c r="BD22" s="41"/>
    </row>
    <row r="23" spans="1:56" ht="15.75" customHeight="1" thickBot="1">
      <c r="A23" s="136"/>
      <c r="B23" s="155" t="s">
        <v>222</v>
      </c>
      <c r="C23" s="156"/>
      <c r="D23" s="156"/>
      <c r="E23" s="156"/>
      <c r="F23" s="156"/>
      <c r="G23" s="157">
        <f>+VLOOKUP(($A$1),Sumario!$A$2:$AZ$41,52,(FALSE))</f>
        <v>0</v>
      </c>
      <c r="H23" s="158"/>
      <c r="I23" s="159"/>
      <c r="J23" s="153"/>
      <c r="K23" s="15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70"/>
      <c r="AO23" s="16"/>
      <c r="AP23" s="16"/>
      <c r="AQ23" s="16"/>
      <c r="AR23" s="16"/>
      <c r="AT23" s="45"/>
      <c r="AU23" s="16"/>
      <c r="AV23" s="16"/>
      <c r="AW23" s="16"/>
      <c r="AX23" s="16"/>
      <c r="AZ23" s="39"/>
      <c r="BA23" s="8"/>
      <c r="BB23" s="8"/>
      <c r="BC23" s="8"/>
      <c r="BD23" s="8"/>
    </row>
    <row r="24" spans="1:56" ht="15.75" customHeight="1"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70"/>
      <c r="AO24" s="16"/>
      <c r="AP24" s="16"/>
      <c r="AQ24" s="16"/>
      <c r="AR24" s="16"/>
      <c r="AT24" s="15"/>
      <c r="AU24" s="16"/>
      <c r="AV24" s="16"/>
      <c r="AW24" s="16"/>
      <c r="AX24" s="16"/>
      <c r="AZ24" s="39"/>
      <c r="BA24" s="8"/>
      <c r="BB24" s="8"/>
      <c r="BC24" s="8"/>
      <c r="BD24" s="8"/>
    </row>
    <row r="25" spans="1:56" ht="15" customHeight="1" thickBot="1">
      <c r="A25" s="83" t="s">
        <v>223</v>
      </c>
      <c r="B25" s="84"/>
      <c r="C25" s="84"/>
      <c r="D25" s="87"/>
      <c r="E25" s="117" t="str">
        <f>+VLOOKUP(($A$1),Sumario!$A$2:$AZ$41,4,(FALSE))</f>
        <v>Fondo Vial</v>
      </c>
      <c r="F25" s="91"/>
      <c r="G25" s="91"/>
      <c r="H25" s="91"/>
      <c r="I25" s="91"/>
      <c r="J25" s="91"/>
      <c r="K25" s="118"/>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70"/>
      <c r="AO25" s="16"/>
      <c r="AP25" s="16"/>
      <c r="AQ25" s="16"/>
      <c r="AR25" s="16"/>
      <c r="AT25" s="15"/>
      <c r="AU25" s="16"/>
      <c r="AV25" s="16"/>
      <c r="AW25" s="16"/>
      <c r="AX25" s="16"/>
      <c r="AZ25" s="39"/>
      <c r="BA25" s="8"/>
      <c r="BB25" s="8"/>
      <c r="BC25" s="8"/>
      <c r="BD25" s="8"/>
    </row>
    <row r="26" spans="1:56" ht="15" customHeight="1">
      <c r="A26" s="83" t="s">
        <v>224</v>
      </c>
      <c r="B26" s="84"/>
      <c r="C26" s="84"/>
      <c r="D26" s="87"/>
      <c r="E26" s="180" t="str">
        <f>+VLOOKUP(($A$1),Sumario!$A$2:$AZ$41,11,(FALSE))</f>
        <v>Montedes S.A.</v>
      </c>
      <c r="F26" s="181"/>
      <c r="G26" s="181"/>
      <c r="H26" s="181"/>
      <c r="I26" s="181"/>
      <c r="J26" s="181"/>
      <c r="K26" s="182"/>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70"/>
      <c r="AO26" s="16"/>
      <c r="AP26" s="16"/>
      <c r="AQ26" s="16"/>
      <c r="AR26" s="16"/>
      <c r="AT26" s="15"/>
      <c r="AU26" s="16"/>
      <c r="AV26" s="16"/>
      <c r="AW26" s="16"/>
      <c r="AX26" s="16"/>
      <c r="AZ26" s="39"/>
      <c r="BA26" s="8"/>
      <c r="BB26" s="8"/>
      <c r="BC26" s="8"/>
      <c r="BD26" s="8"/>
    </row>
    <row r="27" spans="1: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70"/>
      <c r="AO27" s="16"/>
      <c r="AP27" s="16"/>
      <c r="AQ27" s="16"/>
      <c r="AR27" s="16"/>
      <c r="AT27" s="15"/>
      <c r="AU27" s="16"/>
      <c r="AV27" s="16"/>
      <c r="AW27" s="16"/>
      <c r="AX27" s="16"/>
      <c r="AZ27" s="39"/>
      <c r="BA27" s="8"/>
      <c r="BB27" s="8"/>
      <c r="BC27" s="8"/>
      <c r="BD27" s="8"/>
    </row>
    <row r="28" spans="1:56" ht="15" customHeight="1" thickBot="1">
      <c r="A28" s="11" t="s">
        <v>225</v>
      </c>
      <c r="B28" s="11"/>
      <c r="C28" s="11"/>
      <c r="D28" s="11"/>
      <c r="E28" s="11"/>
      <c r="F28" s="12"/>
      <c r="G28" s="12"/>
      <c r="H28" s="12"/>
      <c r="I28" s="12"/>
      <c r="J28" s="11" t="s">
        <v>226</v>
      </c>
      <c r="K28" s="12"/>
      <c r="L28" s="13"/>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7"/>
      <c r="AO28" s="16"/>
      <c r="AP28" s="16"/>
      <c r="AQ28" s="16"/>
      <c r="AR28" s="16"/>
      <c r="AT28" s="17"/>
      <c r="AU28" s="16"/>
      <c r="AV28" s="16"/>
      <c r="AW28" s="16"/>
      <c r="AX28" s="16"/>
      <c r="AZ28" s="40"/>
      <c r="BA28" s="8"/>
      <c r="BB28" s="8"/>
      <c r="BC28" s="8"/>
      <c r="BD28" s="8"/>
    </row>
    <row r="29" spans="1:56" ht="15" customHeight="1">
      <c r="A29" s="119"/>
      <c r="B29" s="120"/>
      <c r="C29" s="120"/>
      <c r="D29" s="120"/>
      <c r="E29" s="120"/>
      <c r="F29" s="120"/>
      <c r="G29" s="120"/>
      <c r="H29" s="121"/>
      <c r="I29" s="125" t="str">
        <f>+VLOOKUP(($A$1),Sumario!$A$2:$AZ$41,48,(FALSE))</f>
        <v xml:space="preserve">En ejecución.   </v>
      </c>
      <c r="J29" s="126"/>
      <c r="K29" s="126"/>
      <c r="L29" s="126"/>
      <c r="M29" s="126"/>
      <c r="N29" s="126"/>
      <c r="O29" s="126"/>
      <c r="P29" s="126"/>
      <c r="Q29" s="126"/>
      <c r="R29" s="126"/>
      <c r="S29" s="126"/>
      <c r="T29" s="126"/>
      <c r="U29" s="126"/>
      <c r="V29" s="126"/>
      <c r="W29" s="127"/>
      <c r="X29" s="1"/>
      <c r="Y29" s="1"/>
      <c r="Z29" s="1"/>
      <c r="AA29" s="1"/>
      <c r="AB29" s="1"/>
      <c r="AC29" s="1"/>
      <c r="AD29" s="1"/>
      <c r="AE29" s="1"/>
      <c r="AF29" s="1"/>
      <c r="AG29" s="1"/>
      <c r="AH29" s="1"/>
      <c r="AI29" s="1"/>
      <c r="AJ29" s="1"/>
      <c r="AK29" s="1"/>
      <c r="AL29" s="1"/>
      <c r="AM29" s="1"/>
      <c r="AN29" s="15"/>
      <c r="AO29" s="16"/>
      <c r="AP29" s="16"/>
      <c r="AQ29" s="16"/>
      <c r="AR29" s="16"/>
      <c r="AT29" s="15"/>
      <c r="AU29" s="16"/>
      <c r="AV29" s="16"/>
      <c r="AW29" s="16"/>
      <c r="AX29" s="16"/>
      <c r="AZ29" s="39"/>
      <c r="BA29" s="8"/>
      <c r="BB29" s="8"/>
      <c r="BC29" s="8"/>
      <c r="BD29" s="8"/>
    </row>
    <row r="30" spans="1:56" ht="15" customHeight="1">
      <c r="A30" s="81"/>
      <c r="B30" s="122"/>
      <c r="C30" s="122"/>
      <c r="D30" s="122"/>
      <c r="E30" s="122"/>
      <c r="F30" s="122"/>
      <c r="G30" s="122"/>
      <c r="H30" s="123"/>
      <c r="I30" s="128"/>
      <c r="J30" s="129"/>
      <c r="K30" s="129"/>
      <c r="L30" s="129"/>
      <c r="M30" s="129"/>
      <c r="N30" s="129"/>
      <c r="O30" s="129"/>
      <c r="P30" s="129"/>
      <c r="Q30" s="129"/>
      <c r="R30" s="129"/>
      <c r="S30" s="129"/>
      <c r="T30" s="129"/>
      <c r="U30" s="129"/>
      <c r="V30" s="129"/>
      <c r="W30" s="130"/>
      <c r="X30" s="1"/>
      <c r="Y30" s="1"/>
      <c r="Z30" s="1"/>
      <c r="AA30" s="1"/>
      <c r="AB30" s="1"/>
      <c r="AC30" s="1"/>
      <c r="AD30" s="1"/>
      <c r="AE30" s="1"/>
      <c r="AF30" s="1"/>
      <c r="AG30" s="1"/>
      <c r="AH30" s="1"/>
      <c r="AI30" s="1"/>
      <c r="AJ30" s="1"/>
      <c r="AK30" s="1"/>
      <c r="AL30" s="1"/>
      <c r="AM30" s="1"/>
      <c r="AN30" s="15"/>
      <c r="AO30" s="16"/>
      <c r="AP30" s="16"/>
      <c r="AQ30" s="16"/>
      <c r="AR30" s="16"/>
      <c r="AT30" s="15"/>
      <c r="AU30" s="16"/>
      <c r="AV30" s="16"/>
      <c r="AW30" s="16"/>
      <c r="AX30" s="16"/>
      <c r="AZ30" s="39"/>
      <c r="BA30" s="8"/>
      <c r="BB30" s="8"/>
      <c r="BC30" s="8"/>
      <c r="BD30" s="8"/>
    </row>
    <row r="31" spans="1:56" ht="15" customHeight="1">
      <c r="A31" s="81"/>
      <c r="B31" s="122"/>
      <c r="C31" s="122"/>
      <c r="D31" s="122"/>
      <c r="E31" s="122"/>
      <c r="F31" s="122"/>
      <c r="G31" s="122"/>
      <c r="H31" s="123"/>
      <c r="I31" s="128"/>
      <c r="J31" s="129"/>
      <c r="K31" s="129"/>
      <c r="L31" s="129"/>
      <c r="M31" s="129"/>
      <c r="N31" s="129"/>
      <c r="O31" s="129"/>
      <c r="P31" s="129"/>
      <c r="Q31" s="129"/>
      <c r="R31" s="129"/>
      <c r="S31" s="129"/>
      <c r="T31" s="129"/>
      <c r="U31" s="129"/>
      <c r="V31" s="129"/>
      <c r="W31" s="130"/>
      <c r="X31" s="1"/>
      <c r="Y31" s="1"/>
      <c r="Z31" s="1"/>
      <c r="AA31" s="1"/>
      <c r="AB31" s="1"/>
      <c r="AC31" s="1"/>
      <c r="AD31" s="1"/>
      <c r="AE31" s="1"/>
      <c r="AF31" s="1"/>
      <c r="AG31" s="1"/>
      <c r="AH31" s="1"/>
      <c r="AI31" s="1"/>
      <c r="AJ31" s="1"/>
      <c r="AK31" s="1"/>
      <c r="AL31" s="1"/>
      <c r="AM31" s="1"/>
      <c r="AN31" s="15"/>
      <c r="AO31" s="16"/>
      <c r="AP31" s="16"/>
      <c r="AQ31" s="16"/>
      <c r="AR31" s="16"/>
      <c r="AT31" s="15"/>
      <c r="AU31" s="16"/>
      <c r="AV31" s="16"/>
      <c r="AW31" s="16"/>
      <c r="AX31" s="16"/>
      <c r="AZ31" s="39"/>
      <c r="BA31" s="8"/>
      <c r="BB31" s="8"/>
      <c r="BC31" s="8"/>
      <c r="BD31" s="8"/>
    </row>
    <row r="32" spans="1:56" ht="15" customHeight="1">
      <c r="A32" s="81"/>
      <c r="B32" s="122"/>
      <c r="C32" s="122"/>
      <c r="D32" s="122"/>
      <c r="E32" s="122"/>
      <c r="F32" s="122"/>
      <c r="G32" s="122"/>
      <c r="H32" s="123"/>
      <c r="I32" s="128"/>
      <c r="J32" s="129"/>
      <c r="K32" s="129"/>
      <c r="L32" s="129"/>
      <c r="M32" s="129"/>
      <c r="N32" s="129"/>
      <c r="O32" s="129"/>
      <c r="P32" s="129"/>
      <c r="Q32" s="129"/>
      <c r="R32" s="129"/>
      <c r="S32" s="129"/>
      <c r="T32" s="129"/>
      <c r="U32" s="129"/>
      <c r="V32" s="129"/>
      <c r="W32" s="130"/>
      <c r="X32" s="1"/>
      <c r="Y32" s="1"/>
      <c r="Z32" s="1"/>
      <c r="AA32" s="1"/>
      <c r="AB32" s="1"/>
      <c r="AC32" s="1"/>
      <c r="AD32" s="1"/>
      <c r="AE32" s="1"/>
      <c r="AF32" s="1"/>
      <c r="AG32" s="1"/>
      <c r="AH32" s="1"/>
      <c r="AI32" s="1"/>
      <c r="AJ32" s="1"/>
      <c r="AK32" s="1"/>
      <c r="AL32" s="1"/>
      <c r="AM32" s="1"/>
      <c r="AN32" s="15"/>
      <c r="AO32" s="16"/>
      <c r="AP32" s="16"/>
      <c r="AQ32" s="16"/>
      <c r="AR32" s="16"/>
      <c r="AT32" s="15"/>
      <c r="AU32" s="16"/>
      <c r="AV32" s="16"/>
      <c r="AW32" s="16"/>
      <c r="AX32" s="16"/>
      <c r="AZ32" s="39"/>
      <c r="BA32" s="8"/>
      <c r="BB32" s="8"/>
      <c r="BC32" s="8"/>
      <c r="BD32" s="8"/>
    </row>
    <row r="33" spans="1:56" ht="15" customHeight="1">
      <c r="A33" s="81"/>
      <c r="B33" s="122"/>
      <c r="C33" s="122"/>
      <c r="D33" s="122"/>
      <c r="E33" s="122"/>
      <c r="F33" s="122"/>
      <c r="G33" s="122"/>
      <c r="H33" s="123"/>
      <c r="I33" s="128"/>
      <c r="J33" s="129"/>
      <c r="K33" s="129"/>
      <c r="L33" s="129"/>
      <c r="M33" s="129"/>
      <c r="N33" s="129"/>
      <c r="O33" s="129"/>
      <c r="P33" s="129"/>
      <c r="Q33" s="129"/>
      <c r="R33" s="129"/>
      <c r="S33" s="129"/>
      <c r="T33" s="129"/>
      <c r="U33" s="129"/>
      <c r="V33" s="129"/>
      <c r="W33" s="130"/>
      <c r="X33" s="1"/>
      <c r="Y33" s="1"/>
      <c r="Z33" s="1"/>
      <c r="AA33" s="1"/>
      <c r="AB33" s="1"/>
      <c r="AC33" s="1"/>
      <c r="AD33" s="1"/>
      <c r="AE33" s="1"/>
      <c r="AF33" s="1"/>
      <c r="AG33" s="1"/>
      <c r="AH33" s="1"/>
      <c r="AI33" s="1"/>
      <c r="AJ33" s="1"/>
      <c r="AK33" s="1"/>
      <c r="AL33" s="1"/>
      <c r="AM33" s="1"/>
      <c r="AN33" s="15"/>
      <c r="AO33" s="16"/>
      <c r="AP33" s="16"/>
      <c r="AQ33" s="16"/>
      <c r="AR33" s="16"/>
      <c r="AT33" s="15"/>
      <c r="AU33" s="16"/>
      <c r="AV33" s="16"/>
      <c r="AW33" s="16"/>
      <c r="AX33" s="16"/>
      <c r="AZ33" s="15"/>
      <c r="BA33" s="42"/>
      <c r="BB33" s="42"/>
      <c r="BC33" s="42"/>
      <c r="BD33" s="42"/>
    </row>
    <row r="34" spans="1:56" ht="15" customHeight="1">
      <c r="A34" s="81"/>
      <c r="B34" s="122"/>
      <c r="C34" s="122"/>
      <c r="D34" s="122"/>
      <c r="E34" s="122"/>
      <c r="F34" s="122"/>
      <c r="G34" s="122"/>
      <c r="H34" s="123"/>
      <c r="I34" s="128"/>
      <c r="J34" s="129"/>
      <c r="K34" s="129"/>
      <c r="L34" s="129"/>
      <c r="M34" s="129"/>
      <c r="N34" s="129"/>
      <c r="O34" s="129"/>
      <c r="P34" s="129"/>
      <c r="Q34" s="129"/>
      <c r="R34" s="129"/>
      <c r="S34" s="129"/>
      <c r="T34" s="129"/>
      <c r="U34" s="129"/>
      <c r="V34" s="129"/>
      <c r="W34" s="130"/>
      <c r="X34" s="1"/>
      <c r="Y34" s="1"/>
      <c r="Z34" s="1"/>
      <c r="AA34" s="1"/>
      <c r="AB34" s="1"/>
      <c r="AC34" s="1"/>
      <c r="AD34" s="1"/>
      <c r="AE34" s="1"/>
      <c r="AF34" s="1"/>
      <c r="AG34" s="1"/>
      <c r="AH34" s="1"/>
      <c r="AI34" s="1"/>
      <c r="AJ34" s="1"/>
      <c r="AK34" s="1"/>
      <c r="AL34" s="1"/>
      <c r="AM34" s="1"/>
      <c r="AN34" s="15"/>
      <c r="AO34" s="16"/>
      <c r="AP34" s="16"/>
      <c r="AQ34" s="16"/>
      <c r="AR34" s="16"/>
      <c r="AT34" s="15"/>
      <c r="AU34" s="16"/>
      <c r="AV34" s="16"/>
      <c r="AW34" s="16"/>
      <c r="AX34" s="16"/>
      <c r="AZ34" s="15"/>
      <c r="BA34" s="8"/>
      <c r="BB34" s="8"/>
      <c r="BC34" s="8"/>
      <c r="BD34" s="8"/>
    </row>
    <row r="35" spans="1:56" ht="15" customHeight="1">
      <c r="A35" s="81"/>
      <c r="B35" s="122"/>
      <c r="C35" s="122"/>
      <c r="D35" s="122"/>
      <c r="E35" s="122"/>
      <c r="F35" s="122"/>
      <c r="G35" s="122"/>
      <c r="H35" s="123"/>
      <c r="I35" s="128"/>
      <c r="J35" s="129"/>
      <c r="K35" s="129"/>
      <c r="L35" s="129"/>
      <c r="M35" s="129"/>
      <c r="N35" s="129"/>
      <c r="O35" s="129"/>
      <c r="P35" s="129"/>
      <c r="Q35" s="129"/>
      <c r="R35" s="129"/>
      <c r="S35" s="129"/>
      <c r="T35" s="129"/>
      <c r="U35" s="129"/>
      <c r="V35" s="129"/>
      <c r="W35" s="130"/>
      <c r="X35" s="1"/>
      <c r="Y35" s="1"/>
      <c r="Z35" s="1"/>
      <c r="AA35" s="1"/>
      <c r="AB35" s="1"/>
      <c r="AC35" s="1"/>
      <c r="AD35" s="1"/>
      <c r="AE35" s="1"/>
      <c r="AF35" s="1"/>
      <c r="AG35" s="1"/>
      <c r="AH35" s="1"/>
      <c r="AI35" s="1"/>
      <c r="AJ35" s="1"/>
      <c r="AK35" s="1"/>
      <c r="AL35" s="1"/>
      <c r="AM35" s="1"/>
      <c r="AN35" s="15"/>
      <c r="AO35" s="16"/>
      <c r="AP35" s="16"/>
      <c r="AQ35" s="16"/>
      <c r="AR35" s="16"/>
      <c r="AT35" s="15"/>
      <c r="AU35" s="16"/>
      <c r="AV35" s="16"/>
      <c r="AW35" s="16"/>
      <c r="AX35" s="16"/>
      <c r="AZ35" s="15"/>
      <c r="BA35" s="8"/>
      <c r="BB35" s="8"/>
      <c r="BC35" s="8"/>
      <c r="BD35" s="8"/>
    </row>
    <row r="36" spans="1:56" ht="15" customHeight="1">
      <c r="A36" s="81"/>
      <c r="B36" s="122"/>
      <c r="C36" s="122"/>
      <c r="D36" s="122"/>
      <c r="E36" s="122"/>
      <c r="F36" s="122"/>
      <c r="G36" s="122"/>
      <c r="H36" s="123"/>
      <c r="I36" s="128"/>
      <c r="J36" s="129"/>
      <c r="K36" s="129"/>
      <c r="L36" s="129"/>
      <c r="M36" s="129"/>
      <c r="N36" s="129"/>
      <c r="O36" s="129"/>
      <c r="P36" s="129"/>
      <c r="Q36" s="129"/>
      <c r="R36" s="129"/>
      <c r="S36" s="129"/>
      <c r="T36" s="129"/>
      <c r="U36" s="129"/>
      <c r="V36" s="129"/>
      <c r="W36" s="130"/>
      <c r="X36" s="1"/>
      <c r="Y36" s="1"/>
      <c r="Z36" s="1"/>
      <c r="AA36" s="1"/>
      <c r="AB36" s="1"/>
      <c r="AC36" s="1"/>
      <c r="AD36" s="1"/>
      <c r="AE36" s="1"/>
      <c r="AF36" s="1"/>
      <c r="AG36" s="1"/>
      <c r="AH36" s="1"/>
      <c r="AI36" s="1"/>
      <c r="AJ36" s="1"/>
      <c r="AK36" s="1"/>
      <c r="AL36" s="1"/>
      <c r="AM36" s="1"/>
      <c r="AN36" s="15"/>
      <c r="AO36" s="16"/>
      <c r="AP36" s="16"/>
      <c r="AQ36" s="16"/>
      <c r="AR36" s="16"/>
      <c r="AT36" s="15"/>
      <c r="AU36" s="16"/>
      <c r="AV36" s="16"/>
      <c r="AW36" s="16"/>
      <c r="AX36" s="16"/>
      <c r="AZ36" s="15"/>
      <c r="BA36" s="8"/>
      <c r="BB36" s="8"/>
      <c r="BC36" s="8"/>
      <c r="BD36" s="8"/>
    </row>
    <row r="37" spans="1:56" ht="15" customHeight="1" thickBot="1">
      <c r="A37" s="82"/>
      <c r="B37" s="124"/>
      <c r="C37" s="124"/>
      <c r="D37" s="124"/>
      <c r="E37" s="124"/>
      <c r="F37" s="124"/>
      <c r="G37" s="124"/>
      <c r="H37" s="113"/>
      <c r="I37" s="131"/>
      <c r="J37" s="132"/>
      <c r="K37" s="132"/>
      <c r="L37" s="132"/>
      <c r="M37" s="132"/>
      <c r="N37" s="132"/>
      <c r="O37" s="132"/>
      <c r="P37" s="132"/>
      <c r="Q37" s="132"/>
      <c r="R37" s="132"/>
      <c r="S37" s="132"/>
      <c r="T37" s="132"/>
      <c r="U37" s="132"/>
      <c r="V37" s="132"/>
      <c r="W37" s="133"/>
      <c r="X37" s="1"/>
      <c r="Y37" s="1"/>
      <c r="Z37" s="1"/>
      <c r="AA37" s="1"/>
      <c r="AB37" s="1"/>
      <c r="AC37" s="1"/>
      <c r="AD37" s="1"/>
      <c r="AE37" s="1"/>
      <c r="AF37" s="1"/>
      <c r="AG37" s="1"/>
      <c r="AH37" s="1"/>
      <c r="AI37" s="1"/>
      <c r="AJ37" s="1"/>
      <c r="AK37" s="1"/>
      <c r="AL37" s="1"/>
      <c r="AM37" s="1"/>
      <c r="AN37" s="15"/>
      <c r="AO37" s="16"/>
      <c r="AP37" s="16"/>
      <c r="AQ37" s="16"/>
      <c r="AR37" s="16"/>
      <c r="AT37" s="15"/>
      <c r="AU37" s="16"/>
      <c r="AV37" s="16"/>
      <c r="AW37" s="16"/>
      <c r="AX37" s="16"/>
      <c r="AZ37" s="15"/>
      <c r="BA37" s="8"/>
      <c r="BB37" s="8"/>
      <c r="BC37" s="8"/>
      <c r="BD37" s="18"/>
    </row>
    <row r="38" spans="1:56" ht="15" customHeight="1">
      <c r="A38" s="14"/>
      <c r="B38" s="14"/>
      <c r="C38" s="14"/>
      <c r="D38" s="14"/>
      <c r="E38" s="14"/>
      <c r="F38" s="14"/>
      <c r="G38" s="14"/>
      <c r="H38" s="14"/>
      <c r="I38" s="14"/>
      <c r="J38" s="14"/>
      <c r="K38" s="14"/>
      <c r="L38" s="14"/>
      <c r="M38" s="14"/>
      <c r="N38" s="14"/>
      <c r="O38" s="14"/>
      <c r="P38" s="14"/>
      <c r="Q38" s="14"/>
      <c r="R38" s="14"/>
      <c r="S38" s="14"/>
      <c r="AN38" s="15"/>
      <c r="AO38" s="16"/>
      <c r="AP38" s="16"/>
      <c r="AQ38" s="16"/>
      <c r="AR38" s="16"/>
      <c r="AT38" s="15"/>
      <c r="AU38" s="16"/>
      <c r="AV38" s="16"/>
      <c r="AW38" s="16"/>
      <c r="AX38" s="16"/>
      <c r="AZ38" s="15"/>
      <c r="BA38" s="8"/>
      <c r="BB38" s="8"/>
      <c r="BC38" s="8"/>
      <c r="BD38" s="8"/>
    </row>
    <row r="39" spans="1:56" ht="15.75" customHeight="1">
      <c r="A39" s="14"/>
      <c r="B39" s="14"/>
      <c r="C39" s="14"/>
      <c r="D39" s="14"/>
      <c r="E39" s="14"/>
      <c r="F39" s="14"/>
      <c r="G39" s="14"/>
      <c r="H39" s="14"/>
      <c r="I39" s="14"/>
      <c r="J39" s="14"/>
      <c r="K39" s="14"/>
      <c r="L39" s="14"/>
      <c r="M39" s="14"/>
      <c r="N39" s="14"/>
      <c r="O39" s="14"/>
      <c r="P39" s="14"/>
      <c r="Q39" s="14"/>
      <c r="R39" s="14"/>
      <c r="S39" s="14"/>
      <c r="AN39" s="15"/>
      <c r="AO39" s="16"/>
      <c r="AP39" s="16"/>
      <c r="AQ39" s="16"/>
      <c r="AR39" s="16"/>
      <c r="AT39" s="15"/>
      <c r="AU39" s="16"/>
      <c r="AV39" s="16"/>
      <c r="AW39" s="16"/>
      <c r="AX39" s="16"/>
      <c r="AZ39" s="15"/>
      <c r="BA39" s="8"/>
      <c r="BB39" s="8"/>
      <c r="BC39" s="8"/>
      <c r="BD39" s="8"/>
    </row>
    <row r="40" spans="1:56" ht="15.75" customHeight="1">
      <c r="A40" s="14"/>
      <c r="B40" s="14"/>
      <c r="C40" s="14"/>
      <c r="D40" s="14"/>
      <c r="E40" s="14"/>
      <c r="F40" s="14"/>
      <c r="G40" s="14"/>
      <c r="H40" s="14"/>
      <c r="I40" s="14"/>
      <c r="J40" s="14"/>
      <c r="K40" s="14"/>
      <c r="L40" s="14"/>
      <c r="M40" s="14"/>
      <c r="N40" s="14"/>
      <c r="O40" s="14"/>
      <c r="P40" s="14"/>
      <c r="Q40" s="14"/>
      <c r="R40" s="14"/>
      <c r="S40" s="14"/>
      <c r="AN40" s="17"/>
      <c r="AO40" s="16"/>
      <c r="AP40" s="16"/>
      <c r="AQ40" s="16"/>
      <c r="AR40" s="16"/>
      <c r="AT40" s="17"/>
      <c r="AU40" s="16"/>
      <c r="AV40" s="16"/>
      <c r="AW40" s="16"/>
      <c r="AX40" s="16"/>
      <c r="AZ40" s="17"/>
      <c r="BA40" s="8"/>
      <c r="BB40" s="8"/>
      <c r="BC40" s="8"/>
      <c r="BD40" s="8"/>
    </row>
    <row r="41" spans="1:56" ht="15.75" customHeight="1">
      <c r="A41" s="14"/>
      <c r="B41" s="14"/>
      <c r="C41" s="14"/>
      <c r="D41" s="14"/>
      <c r="E41" s="14"/>
      <c r="F41" s="14"/>
      <c r="G41" s="14"/>
      <c r="H41" s="14"/>
      <c r="I41" s="14"/>
      <c r="J41" s="14"/>
      <c r="K41" s="14"/>
      <c r="L41" s="14"/>
      <c r="M41" s="14"/>
      <c r="N41" s="14"/>
      <c r="O41" s="14"/>
      <c r="P41" s="14"/>
      <c r="Q41" s="14"/>
      <c r="R41" s="14"/>
      <c r="S41" s="14"/>
      <c r="AN41" s="15"/>
      <c r="AO41" s="16"/>
      <c r="AP41" s="16"/>
      <c r="AQ41" s="16"/>
      <c r="AR41" s="16"/>
      <c r="AT41" s="15"/>
      <c r="AU41" s="16"/>
      <c r="AV41" s="16"/>
      <c r="AW41" s="16"/>
      <c r="AX41" s="16"/>
      <c r="AZ41" s="15"/>
      <c r="BA41" s="8"/>
      <c r="BB41" s="8"/>
      <c r="BC41" s="8"/>
      <c r="BD41" s="8"/>
    </row>
    <row r="42" spans="1:56" ht="15.75" customHeight="1">
      <c r="A42" s="14"/>
      <c r="B42" s="14"/>
      <c r="C42" s="14"/>
      <c r="D42" s="14"/>
      <c r="E42" s="14"/>
      <c r="F42" s="14"/>
      <c r="G42" s="14"/>
      <c r="H42" s="14"/>
      <c r="I42" s="14"/>
      <c r="J42" s="14"/>
      <c r="K42" s="14"/>
      <c r="L42" s="14"/>
      <c r="M42" s="14"/>
      <c r="N42" s="14"/>
      <c r="O42" s="14"/>
      <c r="P42" s="14"/>
      <c r="Q42" s="14"/>
      <c r="R42" s="14"/>
      <c r="S42" s="14"/>
      <c r="AN42" s="15"/>
      <c r="AO42" s="16"/>
      <c r="AP42" s="16"/>
      <c r="AQ42" s="16"/>
      <c r="AR42" s="16"/>
      <c r="AT42" s="15"/>
      <c r="AU42" s="16"/>
      <c r="AV42" s="16"/>
      <c r="AW42" s="16"/>
      <c r="AX42" s="16"/>
      <c r="AZ42" s="15"/>
      <c r="BA42" s="8"/>
      <c r="BB42" s="8"/>
      <c r="BC42" s="8"/>
      <c r="BD42" s="8"/>
    </row>
    <row r="43" spans="1:56" ht="15.75" customHeight="1">
      <c r="AN43" s="15"/>
      <c r="AO43" s="16"/>
      <c r="AP43" s="16"/>
      <c r="AQ43" s="16"/>
      <c r="AR43" s="16"/>
      <c r="AT43" s="15"/>
      <c r="AU43" s="16"/>
      <c r="AV43" s="16"/>
      <c r="AW43" s="16"/>
      <c r="AX43" s="16"/>
      <c r="AZ43" s="15"/>
      <c r="BA43" s="8"/>
      <c r="BB43" s="8"/>
      <c r="BC43" s="8"/>
      <c r="BD43" s="8"/>
    </row>
    <row r="44" spans="1:56" ht="15" customHeight="1">
      <c r="AZ44" s="15"/>
      <c r="BA44" s="8"/>
      <c r="BB44" s="8"/>
      <c r="BC44" s="8"/>
      <c r="BD44" s="8"/>
    </row>
    <row r="45" spans="1:56" ht="15.75" customHeight="1">
      <c r="AZ45" s="15"/>
      <c r="BA45" s="8"/>
      <c r="BB45" s="8"/>
      <c r="BC45" s="8"/>
      <c r="BD45" s="8"/>
    </row>
    <row r="46" spans="1:56" ht="15.75" customHeight="1">
      <c r="AZ46" s="15"/>
      <c r="BA46" s="8"/>
      <c r="BB46" s="8"/>
      <c r="BC46" s="8"/>
      <c r="BD46" s="8"/>
    </row>
    <row r="47" spans="1:56" ht="15.75" customHeight="1">
      <c r="AZ47" s="15"/>
      <c r="BA47" s="8"/>
      <c r="BB47" s="8"/>
      <c r="BC47" s="8"/>
      <c r="BD47" s="8"/>
    </row>
    <row r="48" spans="1:56" ht="15.75" customHeight="1">
      <c r="AZ48" s="15"/>
      <c r="BA48" s="8"/>
      <c r="BB48" s="8"/>
      <c r="BC48" s="8"/>
      <c r="BD48" s="8"/>
    </row>
    <row r="49" spans="52:56" ht="15.75" customHeight="1">
      <c r="AZ49" s="15"/>
      <c r="BA49" s="8"/>
      <c r="BB49" s="8"/>
      <c r="BC49" s="8"/>
      <c r="BD49" s="8"/>
    </row>
    <row r="50" spans="52:56" ht="15.75" customHeight="1">
      <c r="AZ50" s="15"/>
      <c r="BA50" s="8"/>
      <c r="BB50" s="8"/>
      <c r="BC50" s="8"/>
      <c r="BD50" s="8"/>
    </row>
    <row r="51" spans="52:56" ht="15.75" customHeight="1">
      <c r="AZ51" s="15"/>
      <c r="BA51" s="8"/>
      <c r="BB51" s="8"/>
      <c r="BC51" s="8"/>
      <c r="BD51" s="8"/>
    </row>
    <row r="52" spans="52:56" ht="15.75" customHeight="1">
      <c r="AZ52" s="15"/>
      <c r="BA52" s="8"/>
      <c r="BB52" s="8"/>
      <c r="BC52" s="8"/>
      <c r="BD52" s="8"/>
    </row>
    <row r="53" spans="52:56" ht="15.75" customHeight="1"/>
    <row r="54" spans="52:56" ht="15.75" customHeight="1"/>
    <row r="55" spans="52:56" ht="15.75" customHeight="1"/>
    <row r="56" spans="52:56" ht="15.75" customHeight="1"/>
    <row r="57" spans="52:56" ht="15.75" customHeight="1"/>
    <row r="58" spans="52:56" ht="15.75" customHeight="1"/>
    <row r="59" spans="52:56" ht="15.75" customHeight="1"/>
    <row r="60" spans="52:56" ht="15.75" customHeight="1"/>
    <row r="61" spans="52:56" ht="15.75" customHeight="1"/>
    <row r="62" spans="52:56" ht="15.75" customHeight="1"/>
    <row r="63" spans="52:56" ht="15.75" customHeight="1"/>
    <row r="64" spans="52:5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5">
    <mergeCell ref="A1:AM1"/>
    <mergeCell ref="A2:AM2"/>
    <mergeCell ref="A3:AM3"/>
    <mergeCell ref="A4:C5"/>
    <mergeCell ref="E4:G5"/>
    <mergeCell ref="I4:K5"/>
    <mergeCell ref="M4:O5"/>
    <mergeCell ref="Q4:S5"/>
    <mergeCell ref="U4:W5"/>
    <mergeCell ref="Y4:AA5"/>
    <mergeCell ref="AC4:AE5"/>
    <mergeCell ref="AG4:AI5"/>
    <mergeCell ref="AK4:AM5"/>
    <mergeCell ref="A6:C6"/>
    <mergeCell ref="E6:G6"/>
    <mergeCell ref="I6:K6"/>
    <mergeCell ref="M6:O6"/>
    <mergeCell ref="Q6:S6"/>
    <mergeCell ref="AC6:AE6"/>
    <mergeCell ref="AG6:AI6"/>
    <mergeCell ref="AK6:AM6"/>
    <mergeCell ref="G10:H10"/>
    <mergeCell ref="B11:F11"/>
    <mergeCell ref="G11:H11"/>
    <mergeCell ref="U6:W6"/>
    <mergeCell ref="Y6:AA6"/>
    <mergeCell ref="B8:F8"/>
    <mergeCell ref="G8:I8"/>
    <mergeCell ref="J8:K14"/>
    <mergeCell ref="B9:F9"/>
    <mergeCell ref="G9:H9"/>
    <mergeCell ref="B10:F10"/>
    <mergeCell ref="B13:F13"/>
    <mergeCell ref="G13:H13"/>
    <mergeCell ref="B21:F21"/>
    <mergeCell ref="G21:I21"/>
    <mergeCell ref="A26:D26"/>
    <mergeCell ref="E26:K26"/>
    <mergeCell ref="G15:H15"/>
    <mergeCell ref="J15:K16"/>
    <mergeCell ref="B16:F16"/>
    <mergeCell ref="G16:I16"/>
    <mergeCell ref="G19:I19"/>
    <mergeCell ref="A8:A16"/>
    <mergeCell ref="B12:F12"/>
    <mergeCell ref="G12:H12"/>
    <mergeCell ref="B14:F14"/>
    <mergeCell ref="G14:I14"/>
    <mergeCell ref="B15:F15"/>
    <mergeCell ref="A29:H37"/>
    <mergeCell ref="I29:W37"/>
    <mergeCell ref="B22:F22"/>
    <mergeCell ref="G22:I22"/>
    <mergeCell ref="J22:K23"/>
    <mergeCell ref="B23:F23"/>
    <mergeCell ref="G23:I23"/>
    <mergeCell ref="A25:D25"/>
    <mergeCell ref="E25:K25"/>
    <mergeCell ref="A18:A23"/>
    <mergeCell ref="B18:F18"/>
    <mergeCell ref="G18:I18"/>
    <mergeCell ref="J18:K21"/>
    <mergeCell ref="B19:F19"/>
    <mergeCell ref="B20:F20"/>
    <mergeCell ref="G20:I20"/>
  </mergeCells>
  <pageMargins left="0.23622047244094491" right="0.23622047244094491" top="0.74803149606299213" bottom="0.15748031496062992" header="0" footer="0"/>
  <pageSetup orientation="landscape" r:id="rId1"/>
  <headerFooter>
    <oddHeader>&amp;LGerencia de Construcción de Vías y Puentes. 
Unidad Ejecutora&amp;CFecha informe: 15 de junio de 2023. 
Periodo que reporta: Mayo 2023.&amp;RAprobado por:    
Ing. Pablo Camacho Salazar</oddHead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22E557E2-DFBF-46B4-8636-217464F93DD0}">
          <x14:formula1>
            <xm:f>Sumario!$A$2:$A$41</xm:f>
          </x14:formula1>
          <xm:sqref>A1:AM1</xm:sqref>
        </x14:dataValidation>
        <x14:dataValidation type="list" allowBlank="1" showErrorMessage="1" xr:uid="{AF720627-70EB-43BB-9142-E9CF64BC0052}">
          <x14:formula1>
            <xm:f>Sumario!$G$2:$G$41</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91FBB-79BF-4AD9-B62D-13AD5DFA2E8B}">
  <dimension ref="A1:BJ1002"/>
  <sheetViews>
    <sheetView view="pageLayout" topLeftCell="A2" zoomScale="90" zoomScaleNormal="120" zoomScalePageLayoutView="90" workbookViewId="0">
      <selection activeCell="BB20" sqref="BB20"/>
    </sheetView>
  </sheetViews>
  <sheetFormatPr baseColWidth="10" defaultColWidth="14.42578125" defaultRowHeight="15" customHeight="1"/>
  <cols>
    <col min="1" max="39" width="3.42578125" style="44" customWidth="1"/>
    <col min="40" max="44" width="10.7109375" style="44" customWidth="1"/>
    <col min="45" max="45" width="7.85546875" style="44" customWidth="1"/>
    <col min="46" max="61" width="10.7109375" style="44" customWidth="1"/>
    <col min="62" max="62" width="15.5703125" style="44" customWidth="1"/>
    <col min="63" max="16384" width="14.42578125" style="44"/>
  </cols>
  <sheetData>
    <row r="1" spans="1:62" ht="15" hidden="1" customHeight="1">
      <c r="A1" s="171">
        <v>24</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row>
    <row r="2" spans="1:62" ht="15" customHeight="1">
      <c r="A2" s="77" t="str">
        <f>+VLOOKUP(($A$1),Sumario!$A$2:$AW$41,6,(FALSE))</f>
        <v>2019LN-000014-0006000001</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9"/>
    </row>
    <row r="3" spans="1:62" ht="15" customHeight="1">
      <c r="A3" s="178" t="str">
        <f>+VLOOKUP(($A$1),Sumario!$A$2:$AW$41,7,(FALSE))</f>
        <v>Diseño y Construcción del paso a desnivel en el cruce "La Galera", Ruta Nacional N° 2 y 251</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89"/>
      <c r="AN3" s="2" t="s">
        <v>177</v>
      </c>
      <c r="AO3" s="1"/>
      <c r="AP3" s="1"/>
      <c r="AQ3" s="1"/>
      <c r="AR3" s="1"/>
      <c r="AS3" s="1"/>
      <c r="AZ3" s="3" t="s">
        <v>178</v>
      </c>
      <c r="BF3" s="3" t="s">
        <v>179</v>
      </c>
    </row>
    <row r="4" spans="1:62">
      <c r="A4" s="172">
        <f>+VLOOKUP(($A$1),Sumario!$A$2:$AW$41,18,(FALSE))</f>
        <v>0</v>
      </c>
      <c r="B4" s="173"/>
      <c r="C4" s="174"/>
      <c r="D4" s="1"/>
      <c r="E4" s="172">
        <f>+VLOOKUP(($A$1),Sumario!$A$2:$AW$41,20,(FALSE))</f>
        <v>0</v>
      </c>
      <c r="F4" s="173"/>
      <c r="G4" s="174"/>
      <c r="H4" s="1"/>
      <c r="I4" s="172">
        <f>+VLOOKUP(($A$1),Sumario!$A$2:$AW$41,19,(FALSE))</f>
        <v>0.12240659049247807</v>
      </c>
      <c r="J4" s="173"/>
      <c r="K4" s="174"/>
      <c r="L4" s="1"/>
      <c r="M4" s="104">
        <f>+VLOOKUP(($A$1),Sumario!$A$2:$AW$41,14,(FALSE))</f>
        <v>1907.6245245499999</v>
      </c>
      <c r="N4" s="105"/>
      <c r="O4" s="106"/>
      <c r="P4" s="1"/>
      <c r="Q4" s="104">
        <f>+VLOOKUP(($A$1),Sumario!$A$2:$AW$41,21,(FALSE))</f>
        <v>233.50581399000001</v>
      </c>
      <c r="R4" s="105"/>
      <c r="S4" s="106"/>
      <c r="T4" s="1"/>
      <c r="U4" s="104">
        <f>+VLOOKUP(($A$1),Sumario!$A$2:$AW$41,22,(FALSE))</f>
        <v>233.50581399000001</v>
      </c>
      <c r="V4" s="105"/>
      <c r="W4" s="106"/>
      <c r="X4" s="1"/>
      <c r="Y4" s="98">
        <f>+VLOOKUP(($A$1),Sumario!$A$2:$AW$41,28,(FALSE))</f>
        <v>0</v>
      </c>
      <c r="Z4" s="99"/>
      <c r="AA4" s="100"/>
      <c r="AB4" s="1"/>
      <c r="AC4" s="98">
        <f>+VLOOKUP(($A$1),Sumario!$A$2:$AW$41,25,(FALSE))</f>
        <v>0</v>
      </c>
      <c r="AD4" s="99"/>
      <c r="AE4" s="100"/>
      <c r="AF4" s="1"/>
      <c r="AG4" s="98">
        <f>+VLOOKUP(($A$1),Sumario!$A$2:$AW$41,26,(FALSE))</f>
        <v>0</v>
      </c>
      <c r="AH4" s="99"/>
      <c r="AI4" s="100"/>
      <c r="AJ4" s="1"/>
      <c r="AK4" s="98">
        <f>+VLOOKUP(($A$1),Sumario!$A$2:$AW$41,27,(FALSE))</f>
        <v>0</v>
      </c>
      <c r="AL4" s="99"/>
      <c r="AM4" s="100"/>
      <c r="AN4" s="1" t="s">
        <v>180</v>
      </c>
      <c r="AO4" s="1"/>
      <c r="AP4" s="1"/>
      <c r="AQ4" s="1"/>
      <c r="AR4" s="1"/>
      <c r="AS4" s="1"/>
      <c r="AT4" s="1" t="s">
        <v>181</v>
      </c>
      <c r="AU4" s="1"/>
      <c r="AV4" s="1"/>
      <c r="AW4" s="1"/>
      <c r="AX4" s="1"/>
      <c r="AY4" s="1"/>
    </row>
    <row r="5" spans="1:62">
      <c r="A5" s="175"/>
      <c r="B5" s="176"/>
      <c r="C5" s="177"/>
      <c r="D5" s="4"/>
      <c r="E5" s="175"/>
      <c r="F5" s="176"/>
      <c r="G5" s="177"/>
      <c r="H5" s="1"/>
      <c r="I5" s="175"/>
      <c r="J5" s="176"/>
      <c r="K5" s="177"/>
      <c r="L5" s="1"/>
      <c r="M5" s="107"/>
      <c r="N5" s="108"/>
      <c r="O5" s="109"/>
      <c r="P5" s="1"/>
      <c r="Q5" s="107"/>
      <c r="R5" s="108"/>
      <c r="S5" s="109"/>
      <c r="T5" s="1"/>
      <c r="U5" s="107"/>
      <c r="V5" s="108"/>
      <c r="W5" s="109"/>
      <c r="X5" s="1"/>
      <c r="Y5" s="101"/>
      <c r="Z5" s="102"/>
      <c r="AA5" s="103"/>
      <c r="AB5" s="1"/>
      <c r="AC5" s="101"/>
      <c r="AD5" s="102"/>
      <c r="AE5" s="103"/>
      <c r="AF5" s="1"/>
      <c r="AG5" s="101"/>
      <c r="AH5" s="102"/>
      <c r="AI5" s="103"/>
      <c r="AJ5" s="1"/>
      <c r="AK5" s="101"/>
      <c r="AL5" s="102"/>
      <c r="AM5" s="103"/>
      <c r="AN5" s="5" t="s">
        <v>189</v>
      </c>
      <c r="AO5" s="6" t="s">
        <v>182</v>
      </c>
      <c r="AP5" s="6" t="s">
        <v>183</v>
      </c>
      <c r="AQ5" s="6" t="s">
        <v>184</v>
      </c>
      <c r="AR5" s="6" t="s">
        <v>185</v>
      </c>
      <c r="AS5" s="7"/>
      <c r="AT5" s="5" t="s">
        <v>189</v>
      </c>
      <c r="AU5" s="6" t="s">
        <v>186</v>
      </c>
      <c r="AV5" s="6" t="s">
        <v>183</v>
      </c>
      <c r="AW5" s="6" t="s">
        <v>187</v>
      </c>
      <c r="AX5" s="6" t="s">
        <v>188</v>
      </c>
      <c r="AZ5" s="6" t="s">
        <v>189</v>
      </c>
      <c r="BA5" s="6" t="s">
        <v>190</v>
      </c>
      <c r="BB5" s="6" t="s">
        <v>191</v>
      </c>
      <c r="BC5" s="6" t="s">
        <v>192</v>
      </c>
      <c r="BD5" s="6" t="s">
        <v>193</v>
      </c>
      <c r="BF5" s="5" t="s">
        <v>189</v>
      </c>
      <c r="BG5" s="6" t="s">
        <v>194</v>
      </c>
      <c r="BH5" s="6" t="s">
        <v>183</v>
      </c>
      <c r="BI5" s="6" t="s">
        <v>195</v>
      </c>
      <c r="BJ5" s="6" t="s">
        <v>196</v>
      </c>
    </row>
    <row r="6" spans="1:62">
      <c r="A6" s="164" t="s">
        <v>197</v>
      </c>
      <c r="B6" s="91"/>
      <c r="C6" s="118"/>
      <c r="D6" s="1"/>
      <c r="E6" s="164" t="s">
        <v>198</v>
      </c>
      <c r="F6" s="91"/>
      <c r="G6" s="118"/>
      <c r="H6" s="1"/>
      <c r="I6" s="164" t="s">
        <v>199</v>
      </c>
      <c r="J6" s="91"/>
      <c r="K6" s="118"/>
      <c r="L6" s="1"/>
      <c r="M6" s="164" t="s">
        <v>200</v>
      </c>
      <c r="N6" s="91"/>
      <c r="O6" s="118"/>
      <c r="P6" s="1"/>
      <c r="Q6" s="164" t="s">
        <v>201</v>
      </c>
      <c r="R6" s="91"/>
      <c r="S6" s="118"/>
      <c r="T6" s="1"/>
      <c r="U6" s="164" t="s">
        <v>202</v>
      </c>
      <c r="V6" s="91"/>
      <c r="W6" s="118"/>
      <c r="X6" s="1"/>
      <c r="Y6" s="164" t="s">
        <v>193</v>
      </c>
      <c r="Z6" s="91"/>
      <c r="AA6" s="118"/>
      <c r="AB6" s="1"/>
      <c r="AC6" s="164" t="s">
        <v>190</v>
      </c>
      <c r="AD6" s="91"/>
      <c r="AE6" s="118"/>
      <c r="AF6" s="1"/>
      <c r="AG6" s="164" t="s">
        <v>191</v>
      </c>
      <c r="AH6" s="91"/>
      <c r="AI6" s="118"/>
      <c r="AJ6" s="1"/>
      <c r="AK6" s="164" t="s">
        <v>192</v>
      </c>
      <c r="AL6" s="91"/>
      <c r="AM6" s="118"/>
      <c r="AN6" s="43">
        <v>44958</v>
      </c>
      <c r="AO6" s="16">
        <f>AU6</f>
        <v>0</v>
      </c>
      <c r="AP6" s="16">
        <f t="shared" ref="AP6:AR6" si="0">+AV6</f>
        <v>0</v>
      </c>
      <c r="AQ6" s="16">
        <f t="shared" si="0"/>
        <v>0</v>
      </c>
      <c r="AR6" s="16">
        <f t="shared" si="0"/>
        <v>0</v>
      </c>
      <c r="AT6" s="43">
        <v>44958</v>
      </c>
      <c r="AU6" s="16">
        <v>0</v>
      </c>
      <c r="AV6" s="16"/>
      <c r="AW6" s="16">
        <v>0</v>
      </c>
      <c r="AX6" s="16">
        <v>0</v>
      </c>
      <c r="AZ6" s="46" t="s">
        <v>279</v>
      </c>
      <c r="BA6" s="8">
        <v>0</v>
      </c>
      <c r="BB6" s="8">
        <v>0</v>
      </c>
      <c r="BC6" s="8">
        <v>0</v>
      </c>
      <c r="BD6" s="8">
        <v>0</v>
      </c>
      <c r="BF6" s="43">
        <f>+AN7</f>
        <v>44986</v>
      </c>
      <c r="BG6" s="16">
        <f>+AO7</f>
        <v>98.888750001414451</v>
      </c>
      <c r="BH6" s="16">
        <f t="shared" ref="BH6:BJ8" si="1">+AP7</f>
        <v>98.888750001414451</v>
      </c>
      <c r="BI6" s="16">
        <f t="shared" si="1"/>
        <v>0</v>
      </c>
      <c r="BJ6" s="16">
        <f t="shared" si="1"/>
        <v>0</v>
      </c>
    </row>
    <row r="7" spans="1:62" ht="15.75"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43">
        <v>44986</v>
      </c>
      <c r="AO7" s="16">
        <f t="shared" ref="AO7:AR22" si="2">+AO6+AU7</f>
        <v>98.888750001414451</v>
      </c>
      <c r="AP7" s="16">
        <f t="shared" si="2"/>
        <v>98.888750001414451</v>
      </c>
      <c r="AQ7" s="16">
        <f t="shared" si="2"/>
        <v>0</v>
      </c>
      <c r="AR7" s="16">
        <f t="shared" si="2"/>
        <v>0</v>
      </c>
      <c r="AT7" s="43">
        <v>44986</v>
      </c>
      <c r="AU7" s="16">
        <v>98.888750001414451</v>
      </c>
      <c r="AV7" s="16">
        <f t="shared" ref="AV7:AV12" si="3">AU7</f>
        <v>98.888750001414451</v>
      </c>
      <c r="AW7" s="16">
        <v>0</v>
      </c>
      <c r="AX7" s="16"/>
      <c r="AZ7" s="46" t="s">
        <v>280</v>
      </c>
      <c r="BA7" s="8">
        <v>0</v>
      </c>
      <c r="BB7" s="8">
        <v>0</v>
      </c>
      <c r="BC7" s="8">
        <v>0</v>
      </c>
      <c r="BD7" s="8">
        <v>0</v>
      </c>
      <c r="BF7" s="43">
        <f t="shared" ref="BF7:BF8" si="4">+AN8</f>
        <v>45017</v>
      </c>
      <c r="BG7" s="16">
        <f t="shared" ref="BG7:BG8" si="5">+AO8</f>
        <v>355.99950000509205</v>
      </c>
      <c r="BH7" s="16">
        <f t="shared" si="1"/>
        <v>355.99950000509205</v>
      </c>
      <c r="BI7" s="16">
        <f t="shared" si="1"/>
        <v>0</v>
      </c>
      <c r="BJ7" s="16">
        <f t="shared" si="1"/>
        <v>0</v>
      </c>
    </row>
    <row r="8" spans="1:62">
      <c r="A8" s="80" t="s">
        <v>203</v>
      </c>
      <c r="B8" s="83" t="s">
        <v>204</v>
      </c>
      <c r="C8" s="84"/>
      <c r="D8" s="84"/>
      <c r="E8" s="84"/>
      <c r="F8" s="85"/>
      <c r="G8" s="86">
        <f>+VLOOKUP(($A$1),Sumario!$A$2:$AW$41,30,(FALSE))</f>
        <v>44957</v>
      </c>
      <c r="H8" s="84"/>
      <c r="I8" s="87"/>
      <c r="J8" s="168">
        <f>G15/G13</f>
        <v>0.33333333333333331</v>
      </c>
      <c r="K8" s="121"/>
      <c r="L8" s="1"/>
      <c r="M8" s="1"/>
      <c r="N8" s="1"/>
      <c r="O8" s="1"/>
      <c r="P8" s="1"/>
      <c r="Q8" s="1"/>
      <c r="R8" s="1"/>
      <c r="S8" s="1"/>
      <c r="T8" s="1"/>
      <c r="U8" s="1"/>
      <c r="V8" s="1"/>
      <c r="W8" s="1"/>
      <c r="X8" s="1"/>
      <c r="Y8" s="1"/>
      <c r="Z8" s="1"/>
      <c r="AA8" s="1"/>
      <c r="AB8" s="1"/>
      <c r="AC8" s="1"/>
      <c r="AD8" s="1"/>
      <c r="AE8" s="1"/>
      <c r="AF8" s="1"/>
      <c r="AG8" s="1"/>
      <c r="AH8" s="1"/>
      <c r="AI8" s="1"/>
      <c r="AJ8" s="1"/>
      <c r="AK8" s="1"/>
      <c r="AL8" s="1"/>
      <c r="AM8" s="1"/>
      <c r="AN8" s="43">
        <v>45017</v>
      </c>
      <c r="AO8" s="16">
        <f t="shared" si="2"/>
        <v>355.99950000509205</v>
      </c>
      <c r="AP8" s="16">
        <f t="shared" si="2"/>
        <v>355.99950000509205</v>
      </c>
      <c r="AQ8" s="16">
        <f t="shared" si="2"/>
        <v>0</v>
      </c>
      <c r="AR8" s="16">
        <f t="shared" si="2"/>
        <v>0</v>
      </c>
      <c r="AT8" s="43">
        <v>45017</v>
      </c>
      <c r="AU8" s="16">
        <f>+AU7*2.6</f>
        <v>257.11075000367759</v>
      </c>
      <c r="AV8" s="16">
        <f t="shared" si="3"/>
        <v>257.11075000367759</v>
      </c>
      <c r="AW8" s="16">
        <v>0</v>
      </c>
      <c r="AX8" s="16">
        <v>0</v>
      </c>
      <c r="AZ8" s="45" t="s">
        <v>281</v>
      </c>
      <c r="BA8" s="8">
        <v>0</v>
      </c>
      <c r="BB8" s="8">
        <v>0</v>
      </c>
      <c r="BC8" s="8">
        <v>0</v>
      </c>
      <c r="BD8" s="8">
        <v>0</v>
      </c>
      <c r="BF8" s="43">
        <f t="shared" si="4"/>
        <v>45047</v>
      </c>
      <c r="BG8" s="16">
        <f t="shared" si="5"/>
        <v>741.66562501060844</v>
      </c>
      <c r="BH8" s="16">
        <f t="shared" si="1"/>
        <v>741.66562501060844</v>
      </c>
      <c r="BI8" s="16">
        <f t="shared" si="1"/>
        <v>233</v>
      </c>
      <c r="BJ8" s="16">
        <f t="shared" si="1"/>
        <v>233</v>
      </c>
    </row>
    <row r="9" spans="1:62">
      <c r="A9" s="81"/>
      <c r="B9" s="90" t="s">
        <v>205</v>
      </c>
      <c r="C9" s="91"/>
      <c r="D9" s="91"/>
      <c r="E9" s="91"/>
      <c r="F9" s="92"/>
      <c r="G9" s="93">
        <f>+VLOOKUP(($A$1),Sumario!$A$2:$AW$41,31,(FALSE))</f>
        <v>360</v>
      </c>
      <c r="H9" s="92"/>
      <c r="I9" s="9" t="s">
        <v>206</v>
      </c>
      <c r="J9" s="169"/>
      <c r="K9" s="123"/>
      <c r="L9" s="1"/>
      <c r="M9" s="1"/>
      <c r="N9" s="1"/>
      <c r="O9" s="1"/>
      <c r="P9" s="1"/>
      <c r="Q9" s="1"/>
      <c r="R9" s="1"/>
      <c r="S9" s="1"/>
      <c r="T9" s="1"/>
      <c r="U9" s="1"/>
      <c r="V9" s="1"/>
      <c r="W9" s="1"/>
      <c r="X9" s="1"/>
      <c r="Y9" s="1"/>
      <c r="Z9" s="1"/>
      <c r="AA9" s="1"/>
      <c r="AB9" s="1"/>
      <c r="AC9" s="1"/>
      <c r="AD9" s="1"/>
      <c r="AE9" s="1"/>
      <c r="AF9" s="1"/>
      <c r="AG9" s="1"/>
      <c r="AH9" s="1"/>
      <c r="AI9" s="1"/>
      <c r="AJ9" s="1"/>
      <c r="AK9" s="1"/>
      <c r="AL9" s="1"/>
      <c r="AM9" s="1"/>
      <c r="AN9" s="43">
        <v>45047</v>
      </c>
      <c r="AO9" s="16">
        <f t="shared" si="2"/>
        <v>741.66562501060844</v>
      </c>
      <c r="AP9" s="16">
        <f t="shared" si="2"/>
        <v>741.66562501060844</v>
      </c>
      <c r="AQ9" s="16">
        <f t="shared" si="2"/>
        <v>233</v>
      </c>
      <c r="AR9" s="16">
        <f t="shared" si="2"/>
        <v>233</v>
      </c>
      <c r="AT9" s="43">
        <v>45047</v>
      </c>
      <c r="AU9" s="16">
        <f>+AU8*1.5</f>
        <v>385.66612500551639</v>
      </c>
      <c r="AV9" s="16">
        <f t="shared" si="3"/>
        <v>385.66612500551639</v>
      </c>
      <c r="AW9" s="16">
        <v>233</v>
      </c>
      <c r="AX9" s="16">
        <v>233</v>
      </c>
      <c r="AZ9" s="46" t="s">
        <v>282</v>
      </c>
      <c r="BA9" s="8">
        <v>0</v>
      </c>
      <c r="BB9" s="8">
        <v>0</v>
      </c>
      <c r="BC9" s="8">
        <v>0</v>
      </c>
      <c r="BD9" s="8">
        <v>0</v>
      </c>
    </row>
    <row r="10" spans="1:62">
      <c r="A10" s="81"/>
      <c r="B10" s="90" t="s">
        <v>207</v>
      </c>
      <c r="C10" s="91"/>
      <c r="D10" s="91"/>
      <c r="E10" s="91"/>
      <c r="F10" s="92"/>
      <c r="G10" s="93">
        <f>+VLOOKUP(($A$1),Sumario!$A$2:$AW$41,42,(FALSE))</f>
        <v>0</v>
      </c>
      <c r="H10" s="92"/>
      <c r="I10" s="9" t="s">
        <v>206</v>
      </c>
      <c r="J10" s="169"/>
      <c r="K10" s="1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43">
        <v>45078</v>
      </c>
      <c r="AO10" s="16">
        <f t="shared" si="2"/>
        <v>1398.8407020200084</v>
      </c>
      <c r="AP10" s="16">
        <f t="shared" si="2"/>
        <v>1398.8407020200084</v>
      </c>
      <c r="AQ10" s="16">
        <f t="shared" si="2"/>
        <v>233</v>
      </c>
      <c r="AR10" s="16">
        <f t="shared" si="2"/>
        <v>233</v>
      </c>
      <c r="AT10" s="43">
        <v>45078</v>
      </c>
      <c r="AU10" s="16">
        <f>+AU9*1.704</f>
        <v>657.17507700939996</v>
      </c>
      <c r="AV10" s="16">
        <f t="shared" si="3"/>
        <v>657.17507700939996</v>
      </c>
      <c r="AW10" s="16">
        <v>0</v>
      </c>
      <c r="AX10" s="16">
        <v>0</v>
      </c>
      <c r="AZ10" s="46" t="s">
        <v>306</v>
      </c>
      <c r="BA10" s="8">
        <v>0</v>
      </c>
      <c r="BB10" s="8">
        <v>0</v>
      </c>
      <c r="BC10" s="8">
        <v>0</v>
      </c>
      <c r="BD10" s="8">
        <v>0</v>
      </c>
    </row>
    <row r="11" spans="1:62">
      <c r="A11" s="81"/>
      <c r="B11" s="90" t="s">
        <v>208</v>
      </c>
      <c r="C11" s="91"/>
      <c r="D11" s="91"/>
      <c r="E11" s="91"/>
      <c r="F11" s="92"/>
      <c r="G11" s="88" t="str">
        <f>+VLOOKUP(($A$1),Sumario!$A$2:$AZ$41,51,(FALSE))</f>
        <v>-</v>
      </c>
      <c r="H11" s="89"/>
      <c r="I11" s="10" t="s">
        <v>206</v>
      </c>
      <c r="J11" s="169"/>
      <c r="K11" s="1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43">
        <v>45108</v>
      </c>
      <c r="AO11" s="16">
        <f t="shared" si="2"/>
        <v>1858.8632559265884</v>
      </c>
      <c r="AP11" s="16">
        <f t="shared" si="2"/>
        <v>1858.8632559265884</v>
      </c>
      <c r="AQ11" s="16">
        <f t="shared" si="2"/>
        <v>233</v>
      </c>
      <c r="AR11" s="16">
        <f t="shared" si="2"/>
        <v>233</v>
      </c>
      <c r="AT11" s="43">
        <v>45108</v>
      </c>
      <c r="AU11" s="16">
        <f>+AU10*0.7</f>
        <v>460.02255390657996</v>
      </c>
      <c r="AV11" s="16">
        <f t="shared" si="3"/>
        <v>460.02255390657996</v>
      </c>
      <c r="AW11" s="16">
        <v>0</v>
      </c>
      <c r="AX11" s="16">
        <f t="shared" ref="AX8:AX12" si="6">+AW11</f>
        <v>0</v>
      </c>
      <c r="AZ11" s="46" t="s">
        <v>329</v>
      </c>
      <c r="BA11" s="8">
        <v>0</v>
      </c>
      <c r="BB11" s="8">
        <v>0</v>
      </c>
      <c r="BC11" s="8">
        <v>0</v>
      </c>
      <c r="BD11" s="8">
        <v>0</v>
      </c>
    </row>
    <row r="12" spans="1:62">
      <c r="A12" s="81"/>
      <c r="B12" s="90" t="s">
        <v>209</v>
      </c>
      <c r="C12" s="91"/>
      <c r="D12" s="91"/>
      <c r="E12" s="91"/>
      <c r="F12" s="92"/>
      <c r="G12" s="93">
        <f>+VLOOKUP(($A$1),Sumario!$A$2:$AW$41,43,(FALSE))</f>
        <v>0</v>
      </c>
      <c r="H12" s="92"/>
      <c r="I12" s="9" t="s">
        <v>206</v>
      </c>
      <c r="J12" s="169"/>
      <c r="K12" s="1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43">
        <v>45139</v>
      </c>
      <c r="AO12" s="16">
        <f t="shared" si="2"/>
        <v>1907.6256466406858</v>
      </c>
      <c r="AP12" s="16">
        <f t="shared" si="2"/>
        <v>1907.6256466406858</v>
      </c>
      <c r="AQ12" s="16">
        <f t="shared" si="2"/>
        <v>233</v>
      </c>
      <c r="AR12" s="16">
        <f t="shared" si="2"/>
        <v>233</v>
      </c>
      <c r="AT12" s="43">
        <v>45139</v>
      </c>
      <c r="AU12" s="16">
        <f>+AU11*0.106</f>
        <v>48.762390714097471</v>
      </c>
      <c r="AV12" s="16">
        <f t="shared" si="3"/>
        <v>48.762390714097471</v>
      </c>
      <c r="AW12" s="16">
        <v>0</v>
      </c>
      <c r="AX12" s="16">
        <f t="shared" si="6"/>
        <v>0</v>
      </c>
      <c r="AZ12" s="15"/>
      <c r="BA12" s="8"/>
      <c r="BB12" s="8"/>
      <c r="BC12" s="8"/>
      <c r="BD12" s="8"/>
    </row>
    <row r="13" spans="1:62">
      <c r="A13" s="81"/>
      <c r="B13" s="90" t="s">
        <v>210</v>
      </c>
      <c r="C13" s="91"/>
      <c r="D13" s="91"/>
      <c r="E13" s="91"/>
      <c r="F13" s="92"/>
      <c r="G13" s="94">
        <f>+VLOOKUP(($A$1),Sumario!$A$2:$AW$41,44,(FALSE))</f>
        <v>360</v>
      </c>
      <c r="H13" s="95"/>
      <c r="I13" s="37" t="s">
        <v>206</v>
      </c>
      <c r="J13" s="169"/>
      <c r="K13" s="12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5"/>
      <c r="AO13" s="16">
        <f t="shared" si="2"/>
        <v>1907.6256466406858</v>
      </c>
      <c r="AP13" s="16">
        <f t="shared" si="2"/>
        <v>1907.6256466406858</v>
      </c>
      <c r="AQ13" s="16">
        <f t="shared" si="2"/>
        <v>233</v>
      </c>
      <c r="AR13" s="16">
        <f t="shared" si="2"/>
        <v>233</v>
      </c>
      <c r="AT13" s="15"/>
      <c r="AU13" s="16"/>
      <c r="AV13" s="16"/>
      <c r="AW13" s="16"/>
      <c r="AX13" s="16"/>
      <c r="AZ13" s="15"/>
      <c r="BA13" s="8"/>
      <c r="BB13" s="8"/>
      <c r="BC13" s="8"/>
      <c r="BD13" s="8"/>
    </row>
    <row r="14" spans="1:62">
      <c r="A14" s="81"/>
      <c r="B14" s="90" t="s">
        <v>211</v>
      </c>
      <c r="C14" s="91"/>
      <c r="D14" s="91"/>
      <c r="E14" s="91"/>
      <c r="F14" s="92"/>
      <c r="G14" s="96" t="str">
        <f>+VLOOKUP(($A$1),Sumario!$A$2:$AZ$41,50,(FALSE))</f>
        <v>-</v>
      </c>
      <c r="H14" s="97"/>
      <c r="I14" s="97"/>
      <c r="J14" s="163"/>
      <c r="K14" s="17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5"/>
      <c r="AO14" s="16">
        <f t="shared" si="2"/>
        <v>1907.6256466406858</v>
      </c>
      <c r="AP14" s="16">
        <f t="shared" si="2"/>
        <v>1907.6256466406858</v>
      </c>
      <c r="AQ14" s="16">
        <f t="shared" si="2"/>
        <v>233</v>
      </c>
      <c r="AR14" s="16">
        <f t="shared" si="2"/>
        <v>233</v>
      </c>
      <c r="AT14" s="15"/>
      <c r="AU14" s="16"/>
      <c r="AV14" s="16"/>
      <c r="AW14" s="16"/>
      <c r="AX14" s="16"/>
      <c r="AZ14" s="15"/>
      <c r="BA14" s="8"/>
      <c r="BB14" s="8"/>
      <c r="BC14" s="8"/>
      <c r="BD14" s="8"/>
    </row>
    <row r="15" spans="1:62" ht="15" customHeight="1">
      <c r="A15" s="81"/>
      <c r="B15" s="161" t="s">
        <v>212</v>
      </c>
      <c r="C15" s="91"/>
      <c r="D15" s="91"/>
      <c r="E15" s="91"/>
      <c r="F15" s="92"/>
      <c r="G15" s="162">
        <f>+VLOOKUP(($A$1),Sumario!$A$2:$AW$41,45,(FALSE))</f>
        <v>120</v>
      </c>
      <c r="H15" s="163"/>
      <c r="I15" s="38" t="s">
        <v>206</v>
      </c>
      <c r="J15" s="110" t="s">
        <v>213</v>
      </c>
      <c r="K15" s="11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5"/>
      <c r="AO15" s="16">
        <f t="shared" si="2"/>
        <v>1907.6256466406858</v>
      </c>
      <c r="AP15" s="16">
        <f t="shared" si="2"/>
        <v>1907.6256466406858</v>
      </c>
      <c r="AQ15" s="16">
        <f t="shared" si="2"/>
        <v>233</v>
      </c>
      <c r="AR15" s="16">
        <f t="shared" si="2"/>
        <v>233</v>
      </c>
      <c r="AT15" s="15"/>
      <c r="AU15" s="16"/>
      <c r="AV15" s="16"/>
      <c r="AW15" s="16"/>
      <c r="AX15" s="16"/>
      <c r="AZ15" s="15"/>
      <c r="BA15" s="8"/>
      <c r="BB15" s="8"/>
      <c r="BC15" s="8"/>
      <c r="BD15" s="8"/>
    </row>
    <row r="16" spans="1:62" ht="15.75" thickBot="1">
      <c r="A16" s="82"/>
      <c r="B16" s="114" t="s">
        <v>214</v>
      </c>
      <c r="C16" s="115"/>
      <c r="D16" s="115"/>
      <c r="E16" s="115"/>
      <c r="F16" s="116"/>
      <c r="G16" s="165">
        <f>+VLOOKUP(($A$1),Sumario!$A$2:$AW$41,32,(FALSE))</f>
        <v>45585</v>
      </c>
      <c r="H16" s="166"/>
      <c r="I16" s="167"/>
      <c r="J16" s="112"/>
      <c r="K16" s="1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7"/>
      <c r="AO16" s="16">
        <f t="shared" si="2"/>
        <v>1907.6256466406858</v>
      </c>
      <c r="AP16" s="16">
        <f t="shared" si="2"/>
        <v>1907.6256466406858</v>
      </c>
      <c r="AQ16" s="16">
        <f t="shared" si="2"/>
        <v>233</v>
      </c>
      <c r="AR16" s="16">
        <f t="shared" si="2"/>
        <v>233</v>
      </c>
      <c r="AT16" s="17"/>
      <c r="AU16" s="16"/>
      <c r="AV16" s="16"/>
      <c r="AW16" s="16"/>
      <c r="AX16" s="16"/>
      <c r="AZ16" s="17"/>
      <c r="BA16" s="8"/>
      <c r="BB16" s="8"/>
      <c r="BC16" s="8"/>
      <c r="BD16" s="8"/>
    </row>
    <row r="17" spans="1:56" ht="15.75" thickBo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5"/>
      <c r="AO17" s="16">
        <f t="shared" si="2"/>
        <v>1907.6256466406858</v>
      </c>
      <c r="AP17" s="16">
        <f t="shared" si="2"/>
        <v>1907.6256466406858</v>
      </c>
      <c r="AQ17" s="16">
        <f t="shared" si="2"/>
        <v>233</v>
      </c>
      <c r="AR17" s="16">
        <f t="shared" si="2"/>
        <v>233</v>
      </c>
      <c r="AT17" s="15"/>
      <c r="AU17" s="16"/>
      <c r="AV17" s="16"/>
      <c r="AW17" s="16"/>
      <c r="AX17" s="16"/>
      <c r="AZ17" s="15"/>
      <c r="BA17" s="8"/>
      <c r="BB17" s="8"/>
      <c r="BC17" s="8"/>
      <c r="BD17" s="8"/>
    </row>
    <row r="18" spans="1:56">
      <c r="A18" s="134" t="s">
        <v>215</v>
      </c>
      <c r="B18" s="137" t="s">
        <v>216</v>
      </c>
      <c r="C18" s="138"/>
      <c r="D18" s="138"/>
      <c r="E18" s="138"/>
      <c r="F18" s="138"/>
      <c r="G18" s="148">
        <f>+VLOOKUP(($A$1),Sumario!$A$2:$AW$41,12,(FALSE))</f>
        <v>1907624524.55</v>
      </c>
      <c r="H18" s="149"/>
      <c r="I18" s="150"/>
      <c r="J18" s="139">
        <f>G22/G21</f>
        <v>0</v>
      </c>
      <c r="K18" s="14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5"/>
      <c r="AO18" s="16">
        <f t="shared" si="2"/>
        <v>1907.6256466406858</v>
      </c>
      <c r="AP18" s="16">
        <f t="shared" si="2"/>
        <v>1907.6256466406858</v>
      </c>
      <c r="AQ18" s="16">
        <f t="shared" si="2"/>
        <v>233</v>
      </c>
      <c r="AR18" s="16">
        <f t="shared" si="2"/>
        <v>233</v>
      </c>
      <c r="AT18" s="15"/>
      <c r="AU18" s="16"/>
      <c r="AV18" s="16"/>
      <c r="AW18" s="16"/>
      <c r="AX18" s="16"/>
      <c r="AZ18" s="15"/>
      <c r="BA18" s="8"/>
      <c r="BB18" s="8"/>
      <c r="BC18" s="8"/>
      <c r="BD18" s="8"/>
    </row>
    <row r="19" spans="1:56">
      <c r="A19" s="135"/>
      <c r="B19" s="90" t="s">
        <v>217</v>
      </c>
      <c r="C19" s="92"/>
      <c r="D19" s="92"/>
      <c r="E19" s="92"/>
      <c r="F19" s="92"/>
      <c r="G19" s="145">
        <f>+VLOOKUP(($A$1),Sumario!$A$2:$AW$41,35,(FALSE))</f>
        <v>0</v>
      </c>
      <c r="H19" s="146"/>
      <c r="I19" s="147"/>
      <c r="J19" s="141"/>
      <c r="K19" s="14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5"/>
      <c r="AO19" s="16">
        <f t="shared" si="2"/>
        <v>1907.6256466406858</v>
      </c>
      <c r="AP19" s="16">
        <f t="shared" si="2"/>
        <v>1907.6256466406858</v>
      </c>
      <c r="AQ19" s="16">
        <f t="shared" si="2"/>
        <v>233</v>
      </c>
      <c r="AR19" s="16">
        <f t="shared" si="2"/>
        <v>233</v>
      </c>
      <c r="AT19" s="15"/>
      <c r="AU19" s="16"/>
      <c r="AV19" s="16"/>
      <c r="AW19" s="16"/>
      <c r="AX19" s="16"/>
      <c r="AZ19" s="15"/>
      <c r="BA19" s="8"/>
      <c r="BB19" s="8"/>
      <c r="BC19" s="8"/>
      <c r="BD19" s="8"/>
    </row>
    <row r="20" spans="1:56">
      <c r="A20" s="135"/>
      <c r="B20" s="90" t="s">
        <v>218</v>
      </c>
      <c r="C20" s="92"/>
      <c r="D20" s="92"/>
      <c r="E20" s="92"/>
      <c r="F20" s="92"/>
      <c r="G20" s="145">
        <f>+VLOOKUP(($A$1),Sumario!$A$2:$AW$41,37,(FALSE))</f>
        <v>0</v>
      </c>
      <c r="H20" s="146"/>
      <c r="I20" s="147"/>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5"/>
      <c r="AO20" s="16">
        <f t="shared" si="2"/>
        <v>1907.6256466406858</v>
      </c>
      <c r="AP20" s="16">
        <f t="shared" si="2"/>
        <v>1907.6256466406858</v>
      </c>
      <c r="AQ20" s="16">
        <f t="shared" si="2"/>
        <v>233</v>
      </c>
      <c r="AR20" s="16">
        <f t="shared" si="2"/>
        <v>233</v>
      </c>
      <c r="AT20" s="15"/>
      <c r="AU20" s="16"/>
      <c r="AV20" s="16"/>
      <c r="AW20" s="16"/>
      <c r="AX20" s="16"/>
      <c r="AZ20" s="15"/>
      <c r="BA20" s="8"/>
      <c r="BB20" s="8"/>
      <c r="BC20" s="8"/>
      <c r="BD20" s="8"/>
    </row>
    <row r="21" spans="1:56">
      <c r="A21" s="135"/>
      <c r="B21" s="161" t="s">
        <v>219</v>
      </c>
      <c r="C21" s="92"/>
      <c r="D21" s="92"/>
      <c r="E21" s="92"/>
      <c r="F21" s="92"/>
      <c r="G21" s="160">
        <f>+G18+G19+G20</f>
        <v>1907624524.55</v>
      </c>
      <c r="H21" s="146"/>
      <c r="I21" s="147"/>
      <c r="J21" s="143"/>
      <c r="K21" s="14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5"/>
      <c r="AO21" s="16">
        <f t="shared" si="2"/>
        <v>1907.6256466406858</v>
      </c>
      <c r="AP21" s="16">
        <f t="shared" si="2"/>
        <v>1907.6256466406858</v>
      </c>
      <c r="AQ21" s="16">
        <f t="shared" si="2"/>
        <v>233</v>
      </c>
      <c r="AR21" s="16">
        <f t="shared" si="2"/>
        <v>233</v>
      </c>
      <c r="AT21" s="15"/>
      <c r="AU21" s="16"/>
      <c r="AV21" s="16"/>
      <c r="AW21" s="16"/>
      <c r="AX21" s="16"/>
      <c r="AZ21" s="15"/>
      <c r="BA21" s="8"/>
      <c r="BB21" s="8"/>
      <c r="BC21" s="8"/>
      <c r="BD21" s="8"/>
    </row>
    <row r="22" spans="1:56">
      <c r="A22" s="135"/>
      <c r="B22" s="161" t="s">
        <v>220</v>
      </c>
      <c r="C22" s="92"/>
      <c r="D22" s="92"/>
      <c r="E22" s="92"/>
      <c r="F22" s="92"/>
      <c r="G22" s="160">
        <f>+VLOOKUP(($A$1),Sumario!$A$2:$AW$41,39,(FALSE))</f>
        <v>0</v>
      </c>
      <c r="H22" s="146"/>
      <c r="I22" s="147"/>
      <c r="J22" s="151" t="s">
        <v>221</v>
      </c>
      <c r="K22" s="1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5"/>
      <c r="AO22" s="16">
        <f t="shared" si="2"/>
        <v>1907.6256466406858</v>
      </c>
      <c r="AP22" s="16">
        <f t="shared" si="2"/>
        <v>1907.6256466406858</v>
      </c>
      <c r="AQ22" s="16">
        <f t="shared" si="2"/>
        <v>233</v>
      </c>
      <c r="AR22" s="16">
        <f t="shared" si="2"/>
        <v>233</v>
      </c>
      <c r="AT22" s="15"/>
      <c r="AU22" s="16"/>
      <c r="AV22" s="16"/>
      <c r="AW22" s="16"/>
      <c r="AX22" s="16"/>
      <c r="AZ22" s="15"/>
      <c r="BA22" s="41"/>
      <c r="BB22" s="41"/>
      <c r="BC22" s="41"/>
      <c r="BD22" s="41"/>
    </row>
    <row r="23" spans="1:56" ht="15.75" customHeight="1" thickBot="1">
      <c r="A23" s="136"/>
      <c r="B23" s="155" t="s">
        <v>222</v>
      </c>
      <c r="C23" s="156"/>
      <c r="D23" s="156"/>
      <c r="E23" s="156"/>
      <c r="F23" s="156"/>
      <c r="G23" s="157">
        <f>+VLOOKUP(($A$1),Sumario!$A$2:$AZ$41,52,(FALSE))</f>
        <v>233505813.99000001</v>
      </c>
      <c r="H23" s="158"/>
      <c r="I23" s="159"/>
      <c r="J23" s="153"/>
      <c r="K23" s="15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5"/>
      <c r="AO23" s="16">
        <f t="shared" ref="AO23:AR38" si="7">+AO22+AU23</f>
        <v>1907.6256466406858</v>
      </c>
      <c r="AP23" s="16">
        <f t="shared" si="7"/>
        <v>1907.6256466406858</v>
      </c>
      <c r="AQ23" s="16">
        <f t="shared" si="7"/>
        <v>233</v>
      </c>
      <c r="AR23" s="16">
        <f t="shared" si="7"/>
        <v>233</v>
      </c>
      <c r="AT23" s="15"/>
      <c r="AU23" s="16"/>
      <c r="AV23" s="16"/>
      <c r="AW23" s="16"/>
      <c r="AX23" s="16"/>
      <c r="AZ23" s="39"/>
      <c r="BA23" s="8"/>
      <c r="BB23" s="8"/>
      <c r="BC23" s="8"/>
      <c r="BD23" s="8"/>
    </row>
    <row r="24" spans="1:56" ht="15.75" customHeight="1"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5"/>
      <c r="AO24" s="16">
        <f t="shared" si="7"/>
        <v>1907.6256466406858</v>
      </c>
      <c r="AP24" s="16">
        <f t="shared" si="7"/>
        <v>1907.6256466406858</v>
      </c>
      <c r="AQ24" s="16">
        <f t="shared" si="7"/>
        <v>233</v>
      </c>
      <c r="AR24" s="16">
        <f t="shared" si="7"/>
        <v>233</v>
      </c>
      <c r="AT24" s="15"/>
      <c r="AU24" s="16"/>
      <c r="AV24" s="16"/>
      <c r="AW24" s="16"/>
      <c r="AX24" s="16"/>
      <c r="AZ24" s="39"/>
      <c r="BA24" s="8"/>
      <c r="BB24" s="8"/>
      <c r="BC24" s="8"/>
      <c r="BD24" s="8"/>
    </row>
    <row r="25" spans="1:56" ht="15" customHeight="1" thickBot="1">
      <c r="A25" s="83" t="s">
        <v>223</v>
      </c>
      <c r="B25" s="84"/>
      <c r="C25" s="84"/>
      <c r="D25" s="87"/>
      <c r="E25" s="117" t="str">
        <f>+VLOOKUP(($A$1),Sumario!$A$2:$AZ$41,4,(FALSE))</f>
        <v>Fondo Vial</v>
      </c>
      <c r="F25" s="91"/>
      <c r="G25" s="91"/>
      <c r="H25" s="91"/>
      <c r="I25" s="91"/>
      <c r="J25" s="91"/>
      <c r="K25" s="118"/>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5"/>
      <c r="AO25" s="16">
        <f t="shared" si="7"/>
        <v>1907.6256466406858</v>
      </c>
      <c r="AP25" s="16">
        <f t="shared" si="7"/>
        <v>1907.6256466406858</v>
      </c>
      <c r="AQ25" s="16">
        <f t="shared" si="7"/>
        <v>233</v>
      </c>
      <c r="AR25" s="16">
        <f t="shared" si="7"/>
        <v>233</v>
      </c>
      <c r="AT25" s="15"/>
      <c r="AU25" s="16"/>
      <c r="AV25" s="16"/>
      <c r="AW25" s="16"/>
      <c r="AX25" s="16"/>
      <c r="AZ25" s="39"/>
      <c r="BA25" s="8"/>
      <c r="BB25" s="8"/>
      <c r="BC25" s="8"/>
      <c r="BD25" s="8"/>
    </row>
    <row r="26" spans="1:56" ht="15" customHeight="1">
      <c r="A26" s="83" t="s">
        <v>224</v>
      </c>
      <c r="B26" s="84"/>
      <c r="C26" s="84"/>
      <c r="D26" s="87"/>
      <c r="E26" s="180" t="str">
        <f>+VLOOKUP(($A$1),Sumario!$A$2:$AZ$41,11,(FALSE))</f>
        <v>Consorcio TYPSA-CONANSA-PUENTE PREFA</v>
      </c>
      <c r="F26" s="181"/>
      <c r="G26" s="181"/>
      <c r="H26" s="181"/>
      <c r="I26" s="181"/>
      <c r="J26" s="181"/>
      <c r="K26" s="182"/>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5"/>
      <c r="AO26" s="16">
        <f t="shared" si="7"/>
        <v>1907.6256466406858</v>
      </c>
      <c r="AP26" s="16">
        <f t="shared" si="7"/>
        <v>1907.6256466406858</v>
      </c>
      <c r="AQ26" s="16">
        <f t="shared" si="7"/>
        <v>233</v>
      </c>
      <c r="AR26" s="16">
        <f t="shared" si="7"/>
        <v>233</v>
      </c>
      <c r="AT26" s="15"/>
      <c r="AU26" s="16"/>
      <c r="AV26" s="16"/>
      <c r="AW26" s="16"/>
      <c r="AX26" s="16"/>
      <c r="AZ26" s="39"/>
      <c r="BA26" s="8"/>
      <c r="BB26" s="8"/>
      <c r="BC26" s="8"/>
      <c r="BD26" s="8"/>
    </row>
    <row r="27" spans="1: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5"/>
      <c r="AO27" s="16">
        <f t="shared" si="7"/>
        <v>1907.6256466406858</v>
      </c>
      <c r="AP27" s="16">
        <f t="shared" si="7"/>
        <v>1907.6256466406858</v>
      </c>
      <c r="AQ27" s="16">
        <f t="shared" si="7"/>
        <v>233</v>
      </c>
      <c r="AR27" s="16">
        <f t="shared" si="7"/>
        <v>233</v>
      </c>
      <c r="AT27" s="15"/>
      <c r="AU27" s="16"/>
      <c r="AV27" s="16"/>
      <c r="AW27" s="16"/>
      <c r="AX27" s="16"/>
      <c r="AZ27" s="39"/>
      <c r="BA27" s="8"/>
      <c r="BB27" s="8"/>
      <c r="BC27" s="8"/>
      <c r="BD27" s="8"/>
    </row>
    <row r="28" spans="1:56" ht="15" customHeight="1" thickBot="1">
      <c r="A28" s="11" t="s">
        <v>225</v>
      </c>
      <c r="B28" s="11"/>
      <c r="C28" s="11"/>
      <c r="D28" s="11"/>
      <c r="E28" s="11"/>
      <c r="F28" s="12"/>
      <c r="G28" s="12"/>
      <c r="H28" s="12"/>
      <c r="I28" s="12"/>
      <c r="J28" s="11" t="s">
        <v>226</v>
      </c>
      <c r="K28" s="12"/>
      <c r="L28" s="13"/>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7"/>
      <c r="AO28" s="16">
        <f t="shared" si="7"/>
        <v>1907.6256466406858</v>
      </c>
      <c r="AP28" s="16">
        <f t="shared" si="7"/>
        <v>1907.6256466406858</v>
      </c>
      <c r="AQ28" s="16">
        <f t="shared" si="7"/>
        <v>233</v>
      </c>
      <c r="AR28" s="16">
        <f t="shared" si="7"/>
        <v>233</v>
      </c>
      <c r="AT28" s="17"/>
      <c r="AU28" s="16"/>
      <c r="AV28" s="16"/>
      <c r="AW28" s="16"/>
      <c r="AX28" s="16"/>
      <c r="AZ28" s="40"/>
      <c r="BA28" s="8"/>
      <c r="BB28" s="8"/>
      <c r="BC28" s="8"/>
      <c r="BD28" s="8"/>
    </row>
    <row r="29" spans="1:56" ht="15" customHeight="1">
      <c r="A29" s="119"/>
      <c r="B29" s="120"/>
      <c r="C29" s="120"/>
      <c r="D29" s="120"/>
      <c r="E29" s="120"/>
      <c r="F29" s="120"/>
      <c r="G29" s="120"/>
      <c r="H29" s="121"/>
      <c r="I29" s="183" t="str">
        <f>+VLOOKUP(($A$1),Sumario!$A$2:$AZ$41,48,(FALSE))</f>
        <v xml:space="preserve">El proyecto dio orden de inicio el 31 de enero de 2023.
Se realizará en un Fast Track, Se dio orden de Adelanto del inicio de la Etapa II: Construcción (31-01-23), ejecutando de manera paralela diseño y "obras iniciales"
Proyecto se encuentra en Etapa 2, aprobados los Informes N°1 y N°2. Informe N° 3 en proceso.
Pendiente la solicitud de inclusión en el POI y en MIDEPLAN (en trámite). En virtud a la curva s, la presente se conforma mediante una proyección, ya que aún no se tiene toda la información. En las próximas entregas se estaría actualizando dicha información. </v>
      </c>
      <c r="J29" s="184"/>
      <c r="K29" s="184"/>
      <c r="L29" s="184"/>
      <c r="M29" s="184"/>
      <c r="N29" s="184"/>
      <c r="O29" s="184"/>
      <c r="P29" s="184"/>
      <c r="Q29" s="184"/>
      <c r="R29" s="184"/>
      <c r="S29" s="184"/>
      <c r="T29" s="184"/>
      <c r="U29" s="184"/>
      <c r="V29" s="184"/>
      <c r="W29" s="185"/>
      <c r="X29" s="1"/>
      <c r="Y29" s="1"/>
      <c r="Z29" s="1"/>
      <c r="AA29" s="1"/>
      <c r="AB29" s="1"/>
      <c r="AC29" s="1"/>
      <c r="AD29" s="1"/>
      <c r="AE29" s="1"/>
      <c r="AF29" s="1"/>
      <c r="AG29" s="1"/>
      <c r="AH29" s="1"/>
      <c r="AI29" s="1"/>
      <c r="AJ29" s="1"/>
      <c r="AK29" s="1"/>
      <c r="AL29" s="1"/>
      <c r="AM29" s="1"/>
      <c r="AN29" s="15"/>
      <c r="AO29" s="16">
        <f t="shared" si="7"/>
        <v>1907.6256466406858</v>
      </c>
      <c r="AP29" s="16">
        <f t="shared" si="7"/>
        <v>1907.6256466406858</v>
      </c>
      <c r="AQ29" s="16">
        <f t="shared" si="7"/>
        <v>233</v>
      </c>
      <c r="AR29" s="16">
        <f t="shared" si="7"/>
        <v>233</v>
      </c>
      <c r="AT29" s="15"/>
      <c r="AU29" s="16"/>
      <c r="AV29" s="16"/>
      <c r="AW29" s="16"/>
      <c r="AX29" s="16"/>
      <c r="AZ29" s="39"/>
      <c r="BA29" s="8"/>
      <c r="BB29" s="8"/>
      <c r="BC29" s="8"/>
      <c r="BD29" s="8"/>
    </row>
    <row r="30" spans="1:56" ht="15" customHeight="1">
      <c r="A30" s="81"/>
      <c r="B30" s="122"/>
      <c r="C30" s="122"/>
      <c r="D30" s="122"/>
      <c r="E30" s="122"/>
      <c r="F30" s="122"/>
      <c r="G30" s="122"/>
      <c r="H30" s="123"/>
      <c r="I30" s="186"/>
      <c r="J30" s="187"/>
      <c r="K30" s="187"/>
      <c r="L30" s="187"/>
      <c r="M30" s="187"/>
      <c r="N30" s="187"/>
      <c r="O30" s="187"/>
      <c r="P30" s="187"/>
      <c r="Q30" s="187"/>
      <c r="R30" s="187"/>
      <c r="S30" s="187"/>
      <c r="T30" s="187"/>
      <c r="U30" s="187"/>
      <c r="V30" s="187"/>
      <c r="W30" s="188"/>
      <c r="X30" s="1"/>
      <c r="Y30" s="1"/>
      <c r="Z30" s="1"/>
      <c r="AA30" s="1"/>
      <c r="AB30" s="1"/>
      <c r="AC30" s="1"/>
      <c r="AD30" s="1"/>
      <c r="AE30" s="1"/>
      <c r="AF30" s="1"/>
      <c r="AG30" s="1"/>
      <c r="AH30" s="1"/>
      <c r="AI30" s="1"/>
      <c r="AJ30" s="1"/>
      <c r="AK30" s="1"/>
      <c r="AL30" s="1"/>
      <c r="AM30" s="1"/>
      <c r="AN30" s="15"/>
      <c r="AO30" s="16">
        <f t="shared" si="7"/>
        <v>1907.6256466406858</v>
      </c>
      <c r="AP30" s="16">
        <f t="shared" si="7"/>
        <v>1907.6256466406858</v>
      </c>
      <c r="AQ30" s="16">
        <f t="shared" si="7"/>
        <v>233</v>
      </c>
      <c r="AR30" s="16">
        <f t="shared" si="7"/>
        <v>233</v>
      </c>
      <c r="AT30" s="15"/>
      <c r="AU30" s="16"/>
      <c r="AV30" s="16"/>
      <c r="AW30" s="16"/>
      <c r="AX30" s="16"/>
      <c r="AZ30" s="39"/>
      <c r="BA30" s="8"/>
      <c r="BB30" s="8"/>
      <c r="BC30" s="8"/>
      <c r="BD30" s="8"/>
    </row>
    <row r="31" spans="1:56" ht="15" customHeight="1">
      <c r="A31" s="81"/>
      <c r="B31" s="122"/>
      <c r="C31" s="122"/>
      <c r="D31" s="122"/>
      <c r="E31" s="122"/>
      <c r="F31" s="122"/>
      <c r="G31" s="122"/>
      <c r="H31" s="123"/>
      <c r="I31" s="186"/>
      <c r="J31" s="187"/>
      <c r="K31" s="187"/>
      <c r="L31" s="187"/>
      <c r="M31" s="187"/>
      <c r="N31" s="187"/>
      <c r="O31" s="187"/>
      <c r="P31" s="187"/>
      <c r="Q31" s="187"/>
      <c r="R31" s="187"/>
      <c r="S31" s="187"/>
      <c r="T31" s="187"/>
      <c r="U31" s="187"/>
      <c r="V31" s="187"/>
      <c r="W31" s="188"/>
      <c r="X31" s="1"/>
      <c r="Y31" s="1"/>
      <c r="Z31" s="1"/>
      <c r="AA31" s="1"/>
      <c r="AB31" s="1"/>
      <c r="AC31" s="1"/>
      <c r="AD31" s="1"/>
      <c r="AE31" s="1"/>
      <c r="AF31" s="1"/>
      <c r="AG31" s="1"/>
      <c r="AH31" s="1"/>
      <c r="AI31" s="1"/>
      <c r="AJ31" s="1"/>
      <c r="AK31" s="1"/>
      <c r="AL31" s="1"/>
      <c r="AM31" s="1"/>
      <c r="AN31" s="15"/>
      <c r="AO31" s="16">
        <f t="shared" si="7"/>
        <v>1907.6256466406858</v>
      </c>
      <c r="AP31" s="16">
        <f t="shared" si="7"/>
        <v>1907.6256466406858</v>
      </c>
      <c r="AQ31" s="16">
        <f t="shared" si="7"/>
        <v>233</v>
      </c>
      <c r="AR31" s="16">
        <f t="shared" si="7"/>
        <v>233</v>
      </c>
      <c r="AT31" s="15"/>
      <c r="AU31" s="16"/>
      <c r="AV31" s="16"/>
      <c r="AW31" s="16"/>
      <c r="AX31" s="16"/>
      <c r="AZ31" s="39"/>
      <c r="BA31" s="8"/>
      <c r="BB31" s="8"/>
      <c r="BC31" s="8"/>
      <c r="BD31" s="8"/>
    </row>
    <row r="32" spans="1:56" ht="15" customHeight="1">
      <c r="A32" s="81"/>
      <c r="B32" s="122"/>
      <c r="C32" s="122"/>
      <c r="D32" s="122"/>
      <c r="E32" s="122"/>
      <c r="F32" s="122"/>
      <c r="G32" s="122"/>
      <c r="H32" s="123"/>
      <c r="I32" s="186"/>
      <c r="J32" s="187"/>
      <c r="K32" s="187"/>
      <c r="L32" s="187"/>
      <c r="M32" s="187"/>
      <c r="N32" s="187"/>
      <c r="O32" s="187"/>
      <c r="P32" s="187"/>
      <c r="Q32" s="187"/>
      <c r="R32" s="187"/>
      <c r="S32" s="187"/>
      <c r="T32" s="187"/>
      <c r="U32" s="187"/>
      <c r="V32" s="187"/>
      <c r="W32" s="188"/>
      <c r="X32" s="1"/>
      <c r="Y32" s="1"/>
      <c r="Z32" s="1"/>
      <c r="AA32" s="1"/>
      <c r="AB32" s="1"/>
      <c r="AC32" s="1"/>
      <c r="AD32" s="1"/>
      <c r="AE32" s="1"/>
      <c r="AF32" s="1"/>
      <c r="AG32" s="1"/>
      <c r="AH32" s="1"/>
      <c r="AI32" s="1"/>
      <c r="AJ32" s="1"/>
      <c r="AK32" s="1"/>
      <c r="AL32" s="1"/>
      <c r="AM32" s="1"/>
      <c r="AN32" s="15"/>
      <c r="AO32" s="16">
        <f t="shared" si="7"/>
        <v>1907.6256466406858</v>
      </c>
      <c r="AP32" s="16">
        <f t="shared" si="7"/>
        <v>1907.6256466406858</v>
      </c>
      <c r="AQ32" s="16">
        <f t="shared" si="7"/>
        <v>233</v>
      </c>
      <c r="AR32" s="16">
        <f t="shared" si="7"/>
        <v>233</v>
      </c>
      <c r="AT32" s="15"/>
      <c r="AU32" s="16"/>
      <c r="AV32" s="16"/>
      <c r="AW32" s="16"/>
      <c r="AX32" s="16"/>
      <c r="AZ32" s="39"/>
      <c r="BA32" s="8"/>
      <c r="BB32" s="8"/>
      <c r="BC32" s="8"/>
      <c r="BD32" s="8"/>
    </row>
    <row r="33" spans="1:56" ht="15" customHeight="1">
      <c r="A33" s="81"/>
      <c r="B33" s="122"/>
      <c r="C33" s="122"/>
      <c r="D33" s="122"/>
      <c r="E33" s="122"/>
      <c r="F33" s="122"/>
      <c r="G33" s="122"/>
      <c r="H33" s="123"/>
      <c r="I33" s="186"/>
      <c r="J33" s="187"/>
      <c r="K33" s="187"/>
      <c r="L33" s="187"/>
      <c r="M33" s="187"/>
      <c r="N33" s="187"/>
      <c r="O33" s="187"/>
      <c r="P33" s="187"/>
      <c r="Q33" s="187"/>
      <c r="R33" s="187"/>
      <c r="S33" s="187"/>
      <c r="T33" s="187"/>
      <c r="U33" s="187"/>
      <c r="V33" s="187"/>
      <c r="W33" s="188"/>
      <c r="X33" s="1"/>
      <c r="Y33" s="1"/>
      <c r="Z33" s="1"/>
      <c r="AA33" s="1"/>
      <c r="AB33" s="1"/>
      <c r="AC33" s="1"/>
      <c r="AD33" s="1"/>
      <c r="AE33" s="1"/>
      <c r="AF33" s="1"/>
      <c r="AG33" s="1"/>
      <c r="AH33" s="1"/>
      <c r="AI33" s="1"/>
      <c r="AJ33" s="1"/>
      <c r="AK33" s="1"/>
      <c r="AL33" s="1"/>
      <c r="AM33" s="1"/>
      <c r="AN33" s="15"/>
      <c r="AO33" s="16">
        <f t="shared" si="7"/>
        <v>1907.6256466406858</v>
      </c>
      <c r="AP33" s="16">
        <f t="shared" si="7"/>
        <v>1907.6256466406858</v>
      </c>
      <c r="AQ33" s="16">
        <f t="shared" si="7"/>
        <v>233</v>
      </c>
      <c r="AR33" s="16">
        <f t="shared" si="7"/>
        <v>233</v>
      </c>
      <c r="AT33" s="15"/>
      <c r="AU33" s="16"/>
      <c r="AV33" s="16"/>
      <c r="AW33" s="16"/>
      <c r="AX33" s="16"/>
      <c r="AZ33" s="15"/>
      <c r="BA33" s="42"/>
      <c r="BB33" s="42"/>
      <c r="BC33" s="42"/>
      <c r="BD33" s="42"/>
    </row>
    <row r="34" spans="1:56" ht="15" customHeight="1">
      <c r="A34" s="81"/>
      <c r="B34" s="122"/>
      <c r="C34" s="122"/>
      <c r="D34" s="122"/>
      <c r="E34" s="122"/>
      <c r="F34" s="122"/>
      <c r="G34" s="122"/>
      <c r="H34" s="123"/>
      <c r="I34" s="186"/>
      <c r="J34" s="187"/>
      <c r="K34" s="187"/>
      <c r="L34" s="187"/>
      <c r="M34" s="187"/>
      <c r="N34" s="187"/>
      <c r="O34" s="187"/>
      <c r="P34" s="187"/>
      <c r="Q34" s="187"/>
      <c r="R34" s="187"/>
      <c r="S34" s="187"/>
      <c r="T34" s="187"/>
      <c r="U34" s="187"/>
      <c r="V34" s="187"/>
      <c r="W34" s="188"/>
      <c r="X34" s="1"/>
      <c r="Y34" s="1"/>
      <c r="Z34" s="1"/>
      <c r="AA34" s="1"/>
      <c r="AB34" s="1"/>
      <c r="AC34" s="1"/>
      <c r="AD34" s="1"/>
      <c r="AE34" s="1"/>
      <c r="AF34" s="1"/>
      <c r="AG34" s="1"/>
      <c r="AH34" s="1"/>
      <c r="AI34" s="1"/>
      <c r="AJ34" s="1"/>
      <c r="AK34" s="1"/>
      <c r="AL34" s="1"/>
      <c r="AM34" s="1"/>
      <c r="AN34" s="15"/>
      <c r="AO34" s="16">
        <f t="shared" si="7"/>
        <v>1907.6256466406858</v>
      </c>
      <c r="AP34" s="16">
        <f t="shared" si="7"/>
        <v>1907.6256466406858</v>
      </c>
      <c r="AQ34" s="16">
        <f t="shared" si="7"/>
        <v>233</v>
      </c>
      <c r="AR34" s="16">
        <f t="shared" si="7"/>
        <v>233</v>
      </c>
      <c r="AT34" s="15"/>
      <c r="AU34" s="16"/>
      <c r="AV34" s="16"/>
      <c r="AW34" s="16"/>
      <c r="AX34" s="16"/>
      <c r="AZ34" s="15"/>
      <c r="BA34" s="8"/>
      <c r="BB34" s="8"/>
      <c r="BC34" s="8"/>
      <c r="BD34" s="8"/>
    </row>
    <row r="35" spans="1:56" ht="15" customHeight="1">
      <c r="A35" s="81"/>
      <c r="B35" s="122"/>
      <c r="C35" s="122"/>
      <c r="D35" s="122"/>
      <c r="E35" s="122"/>
      <c r="F35" s="122"/>
      <c r="G35" s="122"/>
      <c r="H35" s="123"/>
      <c r="I35" s="186"/>
      <c r="J35" s="187"/>
      <c r="K35" s="187"/>
      <c r="L35" s="187"/>
      <c r="M35" s="187"/>
      <c r="N35" s="187"/>
      <c r="O35" s="187"/>
      <c r="P35" s="187"/>
      <c r="Q35" s="187"/>
      <c r="R35" s="187"/>
      <c r="S35" s="187"/>
      <c r="T35" s="187"/>
      <c r="U35" s="187"/>
      <c r="V35" s="187"/>
      <c r="W35" s="188"/>
      <c r="X35" s="1"/>
      <c r="Y35" s="1"/>
      <c r="Z35" s="1"/>
      <c r="AA35" s="1"/>
      <c r="AB35" s="1"/>
      <c r="AC35" s="1"/>
      <c r="AD35" s="1"/>
      <c r="AE35" s="1"/>
      <c r="AF35" s="1"/>
      <c r="AG35" s="1"/>
      <c r="AH35" s="1"/>
      <c r="AI35" s="1"/>
      <c r="AJ35" s="1"/>
      <c r="AK35" s="1"/>
      <c r="AL35" s="1"/>
      <c r="AM35" s="1"/>
      <c r="AN35" s="15"/>
      <c r="AO35" s="16">
        <f t="shared" si="7"/>
        <v>1907.6256466406858</v>
      </c>
      <c r="AP35" s="16">
        <f t="shared" si="7"/>
        <v>1907.6256466406858</v>
      </c>
      <c r="AQ35" s="16">
        <f t="shared" si="7"/>
        <v>233</v>
      </c>
      <c r="AR35" s="16">
        <f t="shared" si="7"/>
        <v>233</v>
      </c>
      <c r="AT35" s="15"/>
      <c r="AU35" s="16"/>
      <c r="AV35" s="16"/>
      <c r="AW35" s="16"/>
      <c r="AX35" s="16"/>
      <c r="AZ35" s="15"/>
      <c r="BA35" s="8"/>
      <c r="BB35" s="8"/>
      <c r="BC35" s="8"/>
      <c r="BD35" s="8"/>
    </row>
    <row r="36" spans="1:56" ht="15" customHeight="1">
      <c r="A36" s="81"/>
      <c r="B36" s="122"/>
      <c r="C36" s="122"/>
      <c r="D36" s="122"/>
      <c r="E36" s="122"/>
      <c r="F36" s="122"/>
      <c r="G36" s="122"/>
      <c r="H36" s="123"/>
      <c r="I36" s="186"/>
      <c r="J36" s="187"/>
      <c r="K36" s="187"/>
      <c r="L36" s="187"/>
      <c r="M36" s="187"/>
      <c r="N36" s="187"/>
      <c r="O36" s="187"/>
      <c r="P36" s="187"/>
      <c r="Q36" s="187"/>
      <c r="R36" s="187"/>
      <c r="S36" s="187"/>
      <c r="T36" s="187"/>
      <c r="U36" s="187"/>
      <c r="V36" s="187"/>
      <c r="W36" s="188"/>
      <c r="X36" s="1"/>
      <c r="Y36" s="1"/>
      <c r="Z36" s="1"/>
      <c r="AA36" s="1"/>
      <c r="AB36" s="1"/>
      <c r="AC36" s="1"/>
      <c r="AD36" s="1"/>
      <c r="AE36" s="1"/>
      <c r="AF36" s="1"/>
      <c r="AG36" s="1"/>
      <c r="AH36" s="1"/>
      <c r="AI36" s="1"/>
      <c r="AJ36" s="1"/>
      <c r="AK36" s="1"/>
      <c r="AL36" s="1"/>
      <c r="AM36" s="1"/>
      <c r="AN36" s="15"/>
      <c r="AO36" s="16">
        <f t="shared" si="7"/>
        <v>1907.6256466406858</v>
      </c>
      <c r="AP36" s="16">
        <f t="shared" si="7"/>
        <v>1907.6256466406858</v>
      </c>
      <c r="AQ36" s="16">
        <f t="shared" si="7"/>
        <v>233</v>
      </c>
      <c r="AR36" s="16">
        <f t="shared" si="7"/>
        <v>233</v>
      </c>
      <c r="AT36" s="15"/>
      <c r="AU36" s="16"/>
      <c r="AV36" s="16"/>
      <c r="AW36" s="16"/>
      <c r="AX36" s="16"/>
      <c r="AZ36" s="15"/>
      <c r="BA36" s="8"/>
      <c r="BB36" s="8"/>
      <c r="BC36" s="8"/>
      <c r="BD36" s="8"/>
    </row>
    <row r="37" spans="1:56" ht="15" customHeight="1" thickBot="1">
      <c r="A37" s="82"/>
      <c r="B37" s="124"/>
      <c r="C37" s="124"/>
      <c r="D37" s="124"/>
      <c r="E37" s="124"/>
      <c r="F37" s="124"/>
      <c r="G37" s="124"/>
      <c r="H37" s="113"/>
      <c r="I37" s="189"/>
      <c r="J37" s="190"/>
      <c r="K37" s="190"/>
      <c r="L37" s="190"/>
      <c r="M37" s="190"/>
      <c r="N37" s="190"/>
      <c r="O37" s="190"/>
      <c r="P37" s="190"/>
      <c r="Q37" s="190"/>
      <c r="R37" s="190"/>
      <c r="S37" s="190"/>
      <c r="T37" s="190"/>
      <c r="U37" s="190"/>
      <c r="V37" s="190"/>
      <c r="W37" s="191"/>
      <c r="X37" s="1"/>
      <c r="Y37" s="1"/>
      <c r="Z37" s="1"/>
      <c r="AA37" s="1"/>
      <c r="AB37" s="1"/>
      <c r="AC37" s="1"/>
      <c r="AD37" s="1"/>
      <c r="AE37" s="1"/>
      <c r="AF37" s="1"/>
      <c r="AG37" s="1"/>
      <c r="AH37" s="1"/>
      <c r="AI37" s="1"/>
      <c r="AJ37" s="1"/>
      <c r="AK37" s="1"/>
      <c r="AL37" s="1"/>
      <c r="AM37" s="1"/>
      <c r="AN37" s="15"/>
      <c r="AO37" s="16">
        <f t="shared" si="7"/>
        <v>1907.6256466406858</v>
      </c>
      <c r="AP37" s="16">
        <f t="shared" si="7"/>
        <v>1907.6256466406858</v>
      </c>
      <c r="AQ37" s="16">
        <f t="shared" si="7"/>
        <v>233</v>
      </c>
      <c r="AR37" s="16">
        <f t="shared" si="7"/>
        <v>233</v>
      </c>
      <c r="AT37" s="15"/>
      <c r="AU37" s="16"/>
      <c r="AV37" s="16"/>
      <c r="AW37" s="16"/>
      <c r="AX37" s="16"/>
      <c r="AZ37" s="15"/>
      <c r="BA37" s="8"/>
      <c r="BB37" s="8"/>
      <c r="BC37" s="8"/>
      <c r="BD37" s="18"/>
    </row>
    <row r="38" spans="1:56" ht="15" customHeight="1">
      <c r="A38" s="14"/>
      <c r="B38" s="14"/>
      <c r="C38" s="14"/>
      <c r="D38" s="14"/>
      <c r="E38" s="14"/>
      <c r="F38" s="14"/>
      <c r="G38" s="14"/>
      <c r="H38" s="14"/>
      <c r="I38" s="14"/>
      <c r="J38" s="14"/>
      <c r="K38" s="14"/>
      <c r="L38" s="14"/>
      <c r="M38" s="14"/>
      <c r="N38" s="14"/>
      <c r="O38" s="14"/>
      <c r="P38" s="14"/>
      <c r="Q38" s="14"/>
      <c r="R38" s="14"/>
      <c r="S38" s="14"/>
      <c r="AN38" s="15"/>
      <c r="AO38" s="16">
        <f t="shared" si="7"/>
        <v>1907.6256466406858</v>
      </c>
      <c r="AP38" s="16">
        <f t="shared" si="7"/>
        <v>1907.6256466406858</v>
      </c>
      <c r="AQ38" s="16">
        <f t="shared" si="7"/>
        <v>233</v>
      </c>
      <c r="AR38" s="16">
        <f t="shared" si="7"/>
        <v>233</v>
      </c>
      <c r="AT38" s="15"/>
      <c r="AU38" s="16"/>
      <c r="AV38" s="16"/>
      <c r="AW38" s="16"/>
      <c r="AX38" s="16"/>
      <c r="AZ38" s="15"/>
      <c r="BA38" s="8"/>
      <c r="BB38" s="8"/>
      <c r="BC38" s="8"/>
      <c r="BD38" s="8"/>
    </row>
    <row r="39" spans="1:56" ht="15.75" customHeight="1">
      <c r="A39" s="14"/>
      <c r="B39" s="14"/>
      <c r="C39" s="14"/>
      <c r="D39" s="14"/>
      <c r="E39" s="14"/>
      <c r="F39" s="14"/>
      <c r="G39" s="14"/>
      <c r="H39" s="14"/>
      <c r="I39" s="14"/>
      <c r="J39" s="14"/>
      <c r="K39" s="14"/>
      <c r="L39" s="14"/>
      <c r="M39" s="14"/>
      <c r="N39" s="14"/>
      <c r="O39" s="14"/>
      <c r="P39" s="14"/>
      <c r="Q39" s="14"/>
      <c r="R39" s="14"/>
      <c r="S39" s="14"/>
      <c r="AN39" s="15"/>
      <c r="AO39" s="16">
        <f t="shared" ref="AO39:AR43" si="8">+AO38+AU39</f>
        <v>1907.6256466406858</v>
      </c>
      <c r="AP39" s="16">
        <f t="shared" si="8"/>
        <v>1907.6256466406858</v>
      </c>
      <c r="AQ39" s="16">
        <f t="shared" si="8"/>
        <v>233</v>
      </c>
      <c r="AR39" s="16">
        <f t="shared" si="8"/>
        <v>233</v>
      </c>
      <c r="AT39" s="15"/>
      <c r="AU39" s="16"/>
      <c r="AV39" s="16"/>
      <c r="AW39" s="16"/>
      <c r="AX39" s="16"/>
      <c r="AZ39" s="15"/>
      <c r="BA39" s="8"/>
      <c r="BB39" s="8"/>
      <c r="BC39" s="8"/>
      <c r="BD39" s="8"/>
    </row>
    <row r="40" spans="1:56" ht="15.75" customHeight="1">
      <c r="A40" s="14"/>
      <c r="B40" s="14"/>
      <c r="C40" s="14"/>
      <c r="D40" s="14"/>
      <c r="E40" s="14"/>
      <c r="F40" s="14"/>
      <c r="G40" s="14"/>
      <c r="H40" s="14"/>
      <c r="I40" s="14"/>
      <c r="J40" s="14"/>
      <c r="K40" s="14"/>
      <c r="L40" s="14"/>
      <c r="M40" s="14"/>
      <c r="N40" s="14"/>
      <c r="O40" s="14"/>
      <c r="P40" s="14"/>
      <c r="Q40" s="14"/>
      <c r="R40" s="14"/>
      <c r="S40" s="14"/>
      <c r="AN40" s="17"/>
      <c r="AO40" s="16">
        <f t="shared" si="8"/>
        <v>1907.6256466406858</v>
      </c>
      <c r="AP40" s="16">
        <f t="shared" si="8"/>
        <v>1907.6256466406858</v>
      </c>
      <c r="AQ40" s="16">
        <f t="shared" si="8"/>
        <v>233</v>
      </c>
      <c r="AR40" s="16">
        <f t="shared" si="8"/>
        <v>233</v>
      </c>
      <c r="AT40" s="17"/>
      <c r="AU40" s="16"/>
      <c r="AV40" s="16"/>
      <c r="AW40" s="16"/>
      <c r="AX40" s="16"/>
      <c r="AZ40" s="17"/>
      <c r="BA40" s="8"/>
      <c r="BB40" s="8"/>
      <c r="BC40" s="8"/>
      <c r="BD40" s="8"/>
    </row>
    <row r="41" spans="1:56" ht="15.75" customHeight="1">
      <c r="A41" s="14"/>
      <c r="B41" s="14"/>
      <c r="C41" s="14"/>
      <c r="D41" s="14"/>
      <c r="E41" s="14"/>
      <c r="F41" s="14"/>
      <c r="G41" s="14"/>
      <c r="H41" s="14"/>
      <c r="I41" s="14"/>
      <c r="J41" s="14"/>
      <c r="K41" s="14"/>
      <c r="L41" s="14"/>
      <c r="M41" s="14"/>
      <c r="N41" s="14"/>
      <c r="O41" s="14"/>
      <c r="P41" s="14"/>
      <c r="Q41" s="14"/>
      <c r="R41" s="14"/>
      <c r="S41" s="14"/>
      <c r="AN41" s="15"/>
      <c r="AO41" s="16">
        <f t="shared" si="8"/>
        <v>1907.6256466406858</v>
      </c>
      <c r="AP41" s="16">
        <f t="shared" si="8"/>
        <v>1907.6256466406858</v>
      </c>
      <c r="AQ41" s="16">
        <f t="shared" si="8"/>
        <v>233</v>
      </c>
      <c r="AR41" s="16">
        <f t="shared" si="8"/>
        <v>233</v>
      </c>
      <c r="AT41" s="15"/>
      <c r="AU41" s="16"/>
      <c r="AV41" s="16"/>
      <c r="AW41" s="16"/>
      <c r="AX41" s="16"/>
      <c r="AZ41" s="15"/>
      <c r="BA41" s="8"/>
      <c r="BB41" s="8"/>
      <c r="BC41" s="8"/>
      <c r="BD41" s="8"/>
    </row>
    <row r="42" spans="1:56" ht="15.75" customHeight="1">
      <c r="A42" s="14"/>
      <c r="B42" s="14"/>
      <c r="C42" s="14"/>
      <c r="D42" s="14"/>
      <c r="E42" s="14"/>
      <c r="F42" s="14"/>
      <c r="G42" s="14"/>
      <c r="H42" s="14"/>
      <c r="I42" s="14"/>
      <c r="J42" s="14"/>
      <c r="K42" s="14"/>
      <c r="L42" s="14"/>
      <c r="M42" s="14"/>
      <c r="N42" s="14"/>
      <c r="O42" s="14"/>
      <c r="P42" s="14"/>
      <c r="Q42" s="14"/>
      <c r="R42" s="14"/>
      <c r="S42" s="14"/>
      <c r="AN42" s="15"/>
      <c r="AO42" s="16">
        <f t="shared" si="8"/>
        <v>1907.6256466406858</v>
      </c>
      <c r="AP42" s="16">
        <f t="shared" si="8"/>
        <v>1907.6256466406858</v>
      </c>
      <c r="AQ42" s="16">
        <f t="shared" si="8"/>
        <v>233</v>
      </c>
      <c r="AR42" s="16">
        <f t="shared" si="8"/>
        <v>233</v>
      </c>
      <c r="AT42" s="15"/>
      <c r="AU42" s="16"/>
      <c r="AV42" s="16"/>
      <c r="AW42" s="16"/>
      <c r="AX42" s="16"/>
      <c r="AZ42" s="15"/>
      <c r="BA42" s="8"/>
      <c r="BB42" s="8"/>
      <c r="BC42" s="8"/>
      <c r="BD42" s="8"/>
    </row>
    <row r="43" spans="1:56" ht="15.75" customHeight="1">
      <c r="AN43" s="15"/>
      <c r="AO43" s="16">
        <f t="shared" si="8"/>
        <v>1907.6256466406858</v>
      </c>
      <c r="AP43" s="16">
        <f t="shared" si="8"/>
        <v>1907.6256466406858</v>
      </c>
      <c r="AQ43" s="16">
        <f t="shared" si="8"/>
        <v>233</v>
      </c>
      <c r="AR43" s="16">
        <f t="shared" si="8"/>
        <v>233</v>
      </c>
      <c r="AT43" s="15"/>
      <c r="AU43" s="16"/>
      <c r="AV43" s="16"/>
      <c r="AW43" s="16"/>
      <c r="AX43" s="16"/>
      <c r="AZ43" s="46"/>
      <c r="BA43" s="8"/>
      <c r="BB43" s="8"/>
      <c r="BC43" s="8"/>
      <c r="BD43" s="8"/>
    </row>
    <row r="44" spans="1:56" ht="15" customHeight="1">
      <c r="AZ44" s="46"/>
      <c r="BA44" s="8"/>
      <c r="BB44" s="8"/>
      <c r="BC44" s="8"/>
      <c r="BD44" s="8"/>
    </row>
    <row r="45" spans="1:56" ht="15.75" customHeight="1">
      <c r="AZ45" s="46"/>
      <c r="BA45" s="8"/>
      <c r="BB45" s="8"/>
      <c r="BC45" s="8"/>
      <c r="BD45" s="8"/>
    </row>
    <row r="46" spans="1:56" ht="15.75" customHeight="1">
      <c r="AZ46" s="46"/>
      <c r="BA46" s="8"/>
      <c r="BB46" s="8"/>
      <c r="BC46" s="8"/>
      <c r="BD46" s="8"/>
    </row>
    <row r="47" spans="1:56" ht="15.75" customHeight="1">
      <c r="AZ47" s="46"/>
      <c r="BA47" s="8"/>
      <c r="BB47" s="8"/>
      <c r="BC47" s="8"/>
      <c r="BD47" s="8"/>
    </row>
    <row r="48" spans="1:56" ht="15.75" customHeight="1">
      <c r="AZ48" s="46"/>
      <c r="BA48" s="8"/>
      <c r="BB48" s="8"/>
      <c r="BC48" s="8"/>
      <c r="BD48" s="8"/>
    </row>
    <row r="49" spans="52:56" ht="15.75" customHeight="1">
      <c r="AZ49" s="46"/>
      <c r="BA49" s="8"/>
      <c r="BB49" s="8"/>
      <c r="BC49" s="8"/>
      <c r="BD49" s="8"/>
    </row>
    <row r="50" spans="52:56" ht="15.75" customHeight="1">
      <c r="AZ50" s="45"/>
      <c r="BA50" s="8"/>
      <c r="BB50" s="8"/>
      <c r="BC50" s="8"/>
      <c r="BD50" s="8"/>
    </row>
    <row r="51" spans="52:56" ht="15.75" customHeight="1">
      <c r="AZ51" s="45"/>
      <c r="BA51" s="8"/>
      <c r="BB51" s="8"/>
      <c r="BC51" s="8"/>
      <c r="BD51" s="8"/>
    </row>
    <row r="52" spans="52:56" ht="15.75" customHeight="1">
      <c r="AZ52" s="45"/>
      <c r="BA52" s="8"/>
      <c r="BB52" s="8"/>
      <c r="BC52" s="8"/>
      <c r="BD52" s="8"/>
    </row>
    <row r="53" spans="52:56" ht="15.75" customHeight="1"/>
    <row r="54" spans="52:56" ht="15.75" customHeight="1"/>
    <row r="55" spans="52:56" ht="15.75" customHeight="1"/>
    <row r="56" spans="52:56" ht="15.75" customHeight="1"/>
    <row r="57" spans="52:56" ht="15.75" customHeight="1"/>
    <row r="58" spans="52:56" ht="15.75" customHeight="1"/>
    <row r="59" spans="52:56" ht="15.75" customHeight="1"/>
    <row r="60" spans="52:56" ht="15.75" customHeight="1"/>
    <row r="61" spans="52:56" ht="15.75" customHeight="1"/>
    <row r="62" spans="52:56" ht="15.75" customHeight="1"/>
    <row r="63" spans="52:56" ht="15.75" customHeight="1"/>
    <row r="64" spans="52:5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5">
    <mergeCell ref="A1:AM1"/>
    <mergeCell ref="A2:AM2"/>
    <mergeCell ref="A3:AM3"/>
    <mergeCell ref="A4:C5"/>
    <mergeCell ref="E4:G5"/>
    <mergeCell ref="I4:K5"/>
    <mergeCell ref="M4:O5"/>
    <mergeCell ref="Q4:S5"/>
    <mergeCell ref="U4:W5"/>
    <mergeCell ref="Y4:AA5"/>
    <mergeCell ref="AC4:AE5"/>
    <mergeCell ref="AG4:AI5"/>
    <mergeCell ref="AK4:AM5"/>
    <mergeCell ref="A6:C6"/>
    <mergeCell ref="E6:G6"/>
    <mergeCell ref="I6:K6"/>
    <mergeCell ref="M6:O6"/>
    <mergeCell ref="Q6:S6"/>
    <mergeCell ref="AC6:AE6"/>
    <mergeCell ref="AG6:AI6"/>
    <mergeCell ref="AK6:AM6"/>
    <mergeCell ref="G10:H10"/>
    <mergeCell ref="B11:F11"/>
    <mergeCell ref="G11:H11"/>
    <mergeCell ref="U6:W6"/>
    <mergeCell ref="Y6:AA6"/>
    <mergeCell ref="B8:F8"/>
    <mergeCell ref="G8:I8"/>
    <mergeCell ref="J8:K14"/>
    <mergeCell ref="B9:F9"/>
    <mergeCell ref="G9:H9"/>
    <mergeCell ref="B10:F10"/>
    <mergeCell ref="B13:F13"/>
    <mergeCell ref="G13:H13"/>
    <mergeCell ref="B21:F21"/>
    <mergeCell ref="G21:I21"/>
    <mergeCell ref="A26:D26"/>
    <mergeCell ref="E26:K26"/>
    <mergeCell ref="G15:H15"/>
    <mergeCell ref="J15:K16"/>
    <mergeCell ref="B16:F16"/>
    <mergeCell ref="G16:I16"/>
    <mergeCell ref="G19:I19"/>
    <mergeCell ref="A8:A16"/>
    <mergeCell ref="B12:F12"/>
    <mergeCell ref="G12:H12"/>
    <mergeCell ref="B14:F14"/>
    <mergeCell ref="G14:I14"/>
    <mergeCell ref="B15:F15"/>
    <mergeCell ref="A29:H37"/>
    <mergeCell ref="I29:W37"/>
    <mergeCell ref="B22:F22"/>
    <mergeCell ref="G22:I22"/>
    <mergeCell ref="J22:K23"/>
    <mergeCell ref="B23:F23"/>
    <mergeCell ref="G23:I23"/>
    <mergeCell ref="A25:D25"/>
    <mergeCell ref="E25:K25"/>
    <mergeCell ref="A18:A23"/>
    <mergeCell ref="B18:F18"/>
    <mergeCell ref="G18:I18"/>
    <mergeCell ref="J18:K21"/>
    <mergeCell ref="B19:F19"/>
    <mergeCell ref="B20:F20"/>
    <mergeCell ref="G20:I20"/>
  </mergeCells>
  <pageMargins left="0.23622047244094491" right="0.23622047244094491" top="0.74803149606299213" bottom="0.15748031496062992" header="0" footer="0"/>
  <pageSetup orientation="landscape" r:id="rId1"/>
  <headerFooter>
    <oddHeader>&amp;LGerencia de Construcción de Vías y Puentes. 
Unidad Ejecutora&amp;CFecha informe: 15 de junio de 2023. 
Periodo que reporta: Mayo 2023.&amp;RAprobado por:    
Ing. Pablo Camacho Salazar</oddHead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9CC4164-616C-4962-8C9E-FEB8BF9F690C}">
          <x14:formula1>
            <xm:f>Sumario!$A$2:$A$41</xm:f>
          </x14:formula1>
          <xm:sqref>A1:AM1</xm:sqref>
        </x14:dataValidation>
        <x14:dataValidation type="list" allowBlank="1" showErrorMessage="1" xr:uid="{E120B5ED-82B4-4325-985D-B89AE1422F24}">
          <x14:formula1>
            <xm:f>Sumario!$G$2:$G$41</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4365-3C24-4E5C-B515-55607D020A0C}">
  <dimension ref="A1:BJ1002"/>
  <sheetViews>
    <sheetView view="pageLayout" topLeftCell="A2" zoomScale="80" zoomScaleNormal="120" zoomScalePageLayoutView="80" workbookViewId="0">
      <selection activeCell="BH20" sqref="BH20"/>
    </sheetView>
  </sheetViews>
  <sheetFormatPr baseColWidth="10" defaultColWidth="14.42578125" defaultRowHeight="15" customHeight="1"/>
  <cols>
    <col min="1" max="39" width="3.42578125" style="49" customWidth="1"/>
    <col min="40" max="44" width="10.7109375" style="49" customWidth="1"/>
    <col min="45" max="45" width="7.85546875" style="49" customWidth="1"/>
    <col min="46" max="61" width="10.7109375" style="49" customWidth="1"/>
    <col min="62" max="62" width="15.5703125" style="49" customWidth="1"/>
    <col min="63" max="16384" width="14.42578125" style="49"/>
  </cols>
  <sheetData>
    <row r="1" spans="1:62" ht="15" hidden="1" customHeight="1">
      <c r="A1" s="171">
        <v>28</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row>
    <row r="2" spans="1:62" ht="15" customHeight="1">
      <c r="A2" s="77" t="str">
        <f>+VLOOKUP(($A$1),Sumario!$A$2:$AW$41,6,(FALSE))</f>
        <v>Licitación Abreviada 2020LA-000010-0006000001</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9"/>
    </row>
    <row r="3" spans="1:62" ht="15" customHeight="1">
      <c r="A3" s="178" t="str">
        <f>+VLOOKUP(($A$1),Sumario!$A$2:$AW$41,7,(FALSE))</f>
        <v>Sustitución Puente Río Zapote Ruta Nacional N° 180 (Brasilito)</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89"/>
      <c r="AN3" s="2" t="s">
        <v>177</v>
      </c>
      <c r="AO3" s="1"/>
      <c r="AP3" s="1"/>
      <c r="AQ3" s="1"/>
      <c r="AR3" s="1"/>
      <c r="AS3" s="1"/>
      <c r="AZ3" s="3" t="s">
        <v>178</v>
      </c>
      <c r="BF3" s="3" t="s">
        <v>179</v>
      </c>
    </row>
    <row r="4" spans="1:62">
      <c r="A4" s="172">
        <f>+VLOOKUP(($A$1),Sumario!$A$2:$AW$41,18,(FALSE))</f>
        <v>0</v>
      </c>
      <c r="B4" s="173"/>
      <c r="C4" s="174"/>
      <c r="D4" s="1"/>
      <c r="E4" s="172">
        <f>+VLOOKUP(($A$1),Sumario!$A$2:$AW$41,20,(FALSE))</f>
        <v>9.8901426005528773E-2</v>
      </c>
      <c r="F4" s="173"/>
      <c r="G4" s="174"/>
      <c r="H4" s="1"/>
      <c r="I4" s="172">
        <f>+VLOOKUP(($A$1),Sumario!$A$2:$AW$41,19,(FALSE))</f>
        <v>0.63609471181317745</v>
      </c>
      <c r="J4" s="173"/>
      <c r="K4" s="174"/>
      <c r="L4" s="1"/>
      <c r="M4" s="104">
        <f>+VLOOKUP(($A$1),Sumario!$A$2:$AW$41,14,(FALSE))</f>
        <v>657.19812377999995</v>
      </c>
      <c r="N4" s="105"/>
      <c r="O4" s="106"/>
      <c r="P4" s="1"/>
      <c r="Q4" s="104">
        <f>+VLOOKUP(($A$1),Sumario!$A$2:$AW$41,21,(FALSE))</f>
        <v>418.04025114999996</v>
      </c>
      <c r="R4" s="105"/>
      <c r="S4" s="106"/>
      <c r="T4" s="1"/>
      <c r="U4" s="104">
        <f>+VLOOKUP(($A$1),Sumario!$A$2:$AW$41,22,(FALSE))</f>
        <v>353.04241953999997</v>
      </c>
      <c r="V4" s="105"/>
      <c r="W4" s="106"/>
      <c r="X4" s="1"/>
      <c r="Y4" s="98">
        <f>+VLOOKUP(($A$1),Sumario!$A$2:$AW$41,28,(FALSE))</f>
        <v>0</v>
      </c>
      <c r="Z4" s="99"/>
      <c r="AA4" s="100"/>
      <c r="AB4" s="1"/>
      <c r="AC4" s="98">
        <f>+VLOOKUP(($A$1),Sumario!$A$2:$AW$41,25,(FALSE))</f>
        <v>0</v>
      </c>
      <c r="AD4" s="99"/>
      <c r="AE4" s="100"/>
      <c r="AF4" s="1"/>
      <c r="AG4" s="98">
        <f>+VLOOKUP(($A$1),Sumario!$A$2:$AW$41,26,(FALSE))</f>
        <v>0</v>
      </c>
      <c r="AH4" s="99"/>
      <c r="AI4" s="100"/>
      <c r="AJ4" s="1"/>
      <c r="AK4" s="98">
        <f>+VLOOKUP(($A$1),Sumario!$A$2:$AW$41,27,(FALSE))</f>
        <v>0.40384625909868038</v>
      </c>
      <c r="AL4" s="99"/>
      <c r="AM4" s="100"/>
      <c r="AN4" s="1" t="s">
        <v>180</v>
      </c>
      <c r="AO4" s="1"/>
      <c r="AP4" s="1"/>
      <c r="AQ4" s="1"/>
      <c r="AR4" s="1"/>
      <c r="AS4" s="1"/>
      <c r="AT4" s="1" t="s">
        <v>181</v>
      </c>
      <c r="AU4" s="1"/>
      <c r="AV4" s="1"/>
      <c r="AW4" s="1"/>
      <c r="AX4" s="1"/>
      <c r="AY4" s="1"/>
    </row>
    <row r="5" spans="1:62">
      <c r="A5" s="175"/>
      <c r="B5" s="176"/>
      <c r="C5" s="177"/>
      <c r="D5" s="4"/>
      <c r="E5" s="175"/>
      <c r="F5" s="176"/>
      <c r="G5" s="177"/>
      <c r="H5" s="1"/>
      <c r="I5" s="175"/>
      <c r="J5" s="176"/>
      <c r="K5" s="177"/>
      <c r="L5" s="1"/>
      <c r="M5" s="107"/>
      <c r="N5" s="108"/>
      <c r="O5" s="109"/>
      <c r="P5" s="1"/>
      <c r="Q5" s="107"/>
      <c r="R5" s="108"/>
      <c r="S5" s="109"/>
      <c r="T5" s="1"/>
      <c r="U5" s="107"/>
      <c r="V5" s="108"/>
      <c r="W5" s="109"/>
      <c r="X5" s="1"/>
      <c r="Y5" s="101"/>
      <c r="Z5" s="102"/>
      <c r="AA5" s="103"/>
      <c r="AB5" s="1"/>
      <c r="AC5" s="101"/>
      <c r="AD5" s="102"/>
      <c r="AE5" s="103"/>
      <c r="AF5" s="1"/>
      <c r="AG5" s="101"/>
      <c r="AH5" s="102"/>
      <c r="AI5" s="103"/>
      <c r="AJ5" s="1"/>
      <c r="AK5" s="101"/>
      <c r="AL5" s="102"/>
      <c r="AM5" s="103"/>
      <c r="AN5" s="5" t="s">
        <v>189</v>
      </c>
      <c r="AO5" s="6" t="s">
        <v>182</v>
      </c>
      <c r="AP5" s="6" t="s">
        <v>183</v>
      </c>
      <c r="AQ5" s="6" t="s">
        <v>184</v>
      </c>
      <c r="AR5" s="6" t="s">
        <v>185</v>
      </c>
      <c r="AS5" s="7"/>
      <c r="AT5" s="5" t="s">
        <v>189</v>
      </c>
      <c r="AU5" s="6" t="s">
        <v>186</v>
      </c>
      <c r="AV5" s="6" t="s">
        <v>183</v>
      </c>
      <c r="AW5" s="6" t="s">
        <v>187</v>
      </c>
      <c r="AX5" s="6" t="s">
        <v>188</v>
      </c>
      <c r="AZ5" s="6" t="s">
        <v>189</v>
      </c>
      <c r="BA5" s="6" t="s">
        <v>190</v>
      </c>
      <c r="BB5" s="6" t="s">
        <v>191</v>
      </c>
      <c r="BC5" s="6" t="s">
        <v>192</v>
      </c>
      <c r="BD5" s="6" t="s">
        <v>193</v>
      </c>
      <c r="BF5" s="5" t="s">
        <v>189</v>
      </c>
      <c r="BG5" s="6" t="s">
        <v>194</v>
      </c>
      <c r="BH5" s="6" t="s">
        <v>183</v>
      </c>
      <c r="BI5" s="6" t="s">
        <v>195</v>
      </c>
      <c r="BJ5" s="6" t="s">
        <v>196</v>
      </c>
    </row>
    <row r="6" spans="1:62">
      <c r="A6" s="164" t="s">
        <v>197</v>
      </c>
      <c r="B6" s="91"/>
      <c r="C6" s="118"/>
      <c r="D6" s="1"/>
      <c r="E6" s="164" t="s">
        <v>198</v>
      </c>
      <c r="F6" s="91"/>
      <c r="G6" s="118"/>
      <c r="H6" s="1"/>
      <c r="I6" s="164" t="s">
        <v>199</v>
      </c>
      <c r="J6" s="91"/>
      <c r="K6" s="118"/>
      <c r="L6" s="1"/>
      <c r="M6" s="164" t="s">
        <v>200</v>
      </c>
      <c r="N6" s="91"/>
      <c r="O6" s="118"/>
      <c r="P6" s="1"/>
      <c r="Q6" s="164" t="s">
        <v>201</v>
      </c>
      <c r="R6" s="91"/>
      <c r="S6" s="118"/>
      <c r="T6" s="1"/>
      <c r="U6" s="164" t="s">
        <v>202</v>
      </c>
      <c r="V6" s="91"/>
      <c r="W6" s="118"/>
      <c r="X6" s="1"/>
      <c r="Y6" s="164" t="s">
        <v>193</v>
      </c>
      <c r="Z6" s="91"/>
      <c r="AA6" s="118"/>
      <c r="AB6" s="1"/>
      <c r="AC6" s="164" t="s">
        <v>190</v>
      </c>
      <c r="AD6" s="91"/>
      <c r="AE6" s="118"/>
      <c r="AF6" s="1"/>
      <c r="AG6" s="164" t="s">
        <v>191</v>
      </c>
      <c r="AH6" s="91"/>
      <c r="AI6" s="118"/>
      <c r="AJ6" s="1"/>
      <c r="AK6" s="164" t="s">
        <v>192</v>
      </c>
      <c r="AL6" s="91"/>
      <c r="AM6" s="118"/>
      <c r="AN6" s="43">
        <v>44743</v>
      </c>
      <c r="AO6" s="69">
        <f>AU6</f>
        <v>37.581265689999995</v>
      </c>
      <c r="AP6" s="69">
        <f t="shared" ref="AP6:AR6" si="0">+AV6</f>
        <v>0</v>
      </c>
      <c r="AQ6" s="69">
        <f t="shared" si="0"/>
        <v>0</v>
      </c>
      <c r="AR6" s="69">
        <f t="shared" si="0"/>
        <v>0</v>
      </c>
      <c r="AT6" s="15">
        <v>44764</v>
      </c>
      <c r="AU6" s="69">
        <v>37.581265689999995</v>
      </c>
      <c r="AV6" s="69"/>
      <c r="AW6" s="69">
        <v>0</v>
      </c>
      <c r="AX6" s="69">
        <v>0</v>
      </c>
      <c r="AZ6" s="43">
        <f>+AN6</f>
        <v>44743</v>
      </c>
      <c r="BA6" s="8"/>
      <c r="BB6" s="8"/>
      <c r="BC6" s="8"/>
      <c r="BD6" s="8"/>
      <c r="BF6" s="47">
        <f>+AN14</f>
        <v>44986</v>
      </c>
      <c r="BG6" s="16">
        <f>+AO14</f>
        <v>405.32577598</v>
      </c>
      <c r="BH6" s="16">
        <f t="shared" ref="BH6:BJ8" si="1">+AP14</f>
        <v>177.44449916000002</v>
      </c>
      <c r="BI6" s="16">
        <f t="shared" si="1"/>
        <v>0</v>
      </c>
      <c r="BJ6" s="16">
        <f t="shared" si="1"/>
        <v>69.259999999999991</v>
      </c>
    </row>
    <row r="7" spans="1:62" ht="15.75"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43">
        <v>44774</v>
      </c>
      <c r="AO7" s="69">
        <f>+AO6+AU7</f>
        <v>111.35045301999999</v>
      </c>
      <c r="AP7" s="69">
        <f t="shared" ref="AP7:AR19" si="2">+AP6+AV7</f>
        <v>0</v>
      </c>
      <c r="AQ7" s="69">
        <f t="shared" si="2"/>
        <v>0</v>
      </c>
      <c r="AR7" s="69">
        <f t="shared" si="2"/>
        <v>0</v>
      </c>
      <c r="AT7" s="15">
        <v>44795</v>
      </c>
      <c r="AU7" s="69">
        <v>73.769187329999994</v>
      </c>
      <c r="AV7" s="69"/>
      <c r="AW7" s="69">
        <v>0</v>
      </c>
      <c r="AX7" s="69">
        <v>0</v>
      </c>
      <c r="AZ7" s="43">
        <f t="shared" ref="AZ7:AZ19" si="3">+AN7</f>
        <v>44774</v>
      </c>
      <c r="BA7" s="8"/>
      <c r="BB7" s="8"/>
      <c r="BC7" s="8"/>
      <c r="BD7" s="8"/>
      <c r="BF7" s="47">
        <f t="shared" ref="BF7:BF8" si="4">+AN15</f>
        <v>45017</v>
      </c>
      <c r="BG7" s="16">
        <f t="shared" ref="BG7:BG8" si="5">+AO15</f>
        <v>405.32577598</v>
      </c>
      <c r="BH7" s="16">
        <f t="shared" si="1"/>
        <v>331.77364422000005</v>
      </c>
      <c r="BI7" s="16">
        <f t="shared" si="1"/>
        <v>0</v>
      </c>
      <c r="BJ7" s="16">
        <f t="shared" si="1"/>
        <v>119.25999999999999</v>
      </c>
    </row>
    <row r="8" spans="1:62">
      <c r="A8" s="80" t="s">
        <v>203</v>
      </c>
      <c r="B8" s="83" t="s">
        <v>204</v>
      </c>
      <c r="C8" s="84"/>
      <c r="D8" s="84"/>
      <c r="E8" s="84"/>
      <c r="F8" s="85"/>
      <c r="G8" s="86">
        <f>+VLOOKUP(($A$1),Sumario!$A$2:$AW$41,30,(FALSE))</f>
        <v>44767</v>
      </c>
      <c r="H8" s="84"/>
      <c r="I8" s="87"/>
      <c r="J8" s="168">
        <f>G15/G13</f>
        <v>0.55288461538461542</v>
      </c>
      <c r="K8" s="121"/>
      <c r="L8" s="1"/>
      <c r="M8" s="1"/>
      <c r="N8" s="1"/>
      <c r="O8" s="1"/>
      <c r="P8" s="1"/>
      <c r="Q8" s="1"/>
      <c r="R8" s="1"/>
      <c r="S8" s="1"/>
      <c r="T8" s="1"/>
      <c r="U8" s="1"/>
      <c r="V8" s="1"/>
      <c r="W8" s="1"/>
      <c r="X8" s="1"/>
      <c r="Y8" s="1"/>
      <c r="Z8" s="1"/>
      <c r="AA8" s="1"/>
      <c r="AB8" s="1"/>
      <c r="AC8" s="1"/>
      <c r="AD8" s="1"/>
      <c r="AE8" s="1"/>
      <c r="AF8" s="1"/>
      <c r="AG8" s="1"/>
      <c r="AH8" s="1"/>
      <c r="AI8" s="1"/>
      <c r="AJ8" s="1"/>
      <c r="AK8" s="1"/>
      <c r="AL8" s="1"/>
      <c r="AM8" s="1"/>
      <c r="AN8" s="71">
        <v>44805</v>
      </c>
      <c r="AO8" s="69">
        <f t="shared" ref="AO8:AO19" si="6">+AO7+AU8</f>
        <v>219.42509853000001</v>
      </c>
      <c r="AP8" s="69">
        <f t="shared" si="2"/>
        <v>0</v>
      </c>
      <c r="AQ8" s="69">
        <f t="shared" si="2"/>
        <v>0</v>
      </c>
      <c r="AR8" s="69">
        <f t="shared" si="2"/>
        <v>0</v>
      </c>
      <c r="AT8" s="15">
        <v>44826</v>
      </c>
      <c r="AU8" s="69">
        <v>108.07464551000001</v>
      </c>
      <c r="AV8" s="69"/>
      <c r="AW8" s="69">
        <v>0</v>
      </c>
      <c r="AX8" s="69">
        <v>0</v>
      </c>
      <c r="AZ8" s="43">
        <f t="shared" si="3"/>
        <v>44805</v>
      </c>
      <c r="BA8" s="8"/>
      <c r="BB8" s="8"/>
      <c r="BC8" s="8"/>
      <c r="BD8" s="8"/>
      <c r="BF8" s="47">
        <f t="shared" si="4"/>
        <v>45047</v>
      </c>
      <c r="BG8" s="16">
        <f t="shared" si="5"/>
        <v>0</v>
      </c>
      <c r="BH8" s="16">
        <f t="shared" si="1"/>
        <v>387.07430662000007</v>
      </c>
      <c r="BI8" s="16">
        <f t="shared" si="1"/>
        <v>0</v>
      </c>
      <c r="BJ8" s="16">
        <f t="shared" si="1"/>
        <v>119.25999999999999</v>
      </c>
    </row>
    <row r="9" spans="1:62">
      <c r="A9" s="81"/>
      <c r="B9" s="90" t="s">
        <v>205</v>
      </c>
      <c r="C9" s="91"/>
      <c r="D9" s="91"/>
      <c r="E9" s="91"/>
      <c r="F9" s="92"/>
      <c r="G9" s="93">
        <f>+VLOOKUP(($A$1),Sumario!$A$2:$AW$41,31,(FALSE))</f>
        <v>180</v>
      </c>
      <c r="H9" s="92"/>
      <c r="I9" s="9" t="s">
        <v>206</v>
      </c>
      <c r="J9" s="169"/>
      <c r="K9" s="123"/>
      <c r="L9" s="1"/>
      <c r="M9" s="1"/>
      <c r="N9" s="1"/>
      <c r="O9" s="1"/>
      <c r="P9" s="1"/>
      <c r="Q9" s="1"/>
      <c r="R9" s="1"/>
      <c r="S9" s="1"/>
      <c r="T9" s="1"/>
      <c r="U9" s="1"/>
      <c r="V9" s="1"/>
      <c r="W9" s="1"/>
      <c r="X9" s="1"/>
      <c r="Y9" s="1"/>
      <c r="Z9" s="1"/>
      <c r="AA9" s="1"/>
      <c r="AB9" s="1"/>
      <c r="AC9" s="1"/>
      <c r="AD9" s="1"/>
      <c r="AE9" s="1"/>
      <c r="AF9" s="1"/>
      <c r="AG9" s="1"/>
      <c r="AH9" s="1"/>
      <c r="AI9" s="1"/>
      <c r="AJ9" s="1"/>
      <c r="AK9" s="1"/>
      <c r="AL9" s="1"/>
      <c r="AM9" s="1"/>
      <c r="AN9" s="43">
        <v>44835</v>
      </c>
      <c r="AO9" s="69">
        <f t="shared" si="6"/>
        <v>310.31741868</v>
      </c>
      <c r="AP9" s="69">
        <f t="shared" si="2"/>
        <v>0</v>
      </c>
      <c r="AQ9" s="69">
        <f t="shared" si="2"/>
        <v>0</v>
      </c>
      <c r="AR9" s="69">
        <f t="shared" si="2"/>
        <v>0</v>
      </c>
      <c r="AT9" s="15">
        <v>44856</v>
      </c>
      <c r="AU9" s="69">
        <v>90.892320150000003</v>
      </c>
      <c r="AV9" s="69"/>
      <c r="AW9" s="69">
        <v>0</v>
      </c>
      <c r="AX9" s="69">
        <v>0</v>
      </c>
      <c r="AZ9" s="43">
        <f t="shared" si="3"/>
        <v>44835</v>
      </c>
      <c r="BA9" s="8"/>
      <c r="BB9" s="8"/>
      <c r="BC9" s="8"/>
      <c r="BD9" s="8"/>
    </row>
    <row r="10" spans="1:62">
      <c r="A10" s="81"/>
      <c r="B10" s="90" t="s">
        <v>207</v>
      </c>
      <c r="C10" s="91"/>
      <c r="D10" s="91"/>
      <c r="E10" s="91"/>
      <c r="F10" s="92"/>
      <c r="G10" s="93">
        <f>+VLOOKUP(($A$1),Sumario!$A$2:$AW$41,42,(FALSE))</f>
        <v>6</v>
      </c>
      <c r="H10" s="92"/>
      <c r="I10" s="9" t="s">
        <v>206</v>
      </c>
      <c r="J10" s="169"/>
      <c r="K10" s="1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43">
        <v>44866</v>
      </c>
      <c r="AO10" s="69">
        <f t="shared" si="6"/>
        <v>366.10820754000002</v>
      </c>
      <c r="AP10" s="69">
        <f t="shared" si="2"/>
        <v>0</v>
      </c>
      <c r="AQ10" s="69">
        <f t="shared" si="2"/>
        <v>0</v>
      </c>
      <c r="AR10" s="69">
        <f t="shared" si="2"/>
        <v>0</v>
      </c>
      <c r="AT10" s="15">
        <v>44887</v>
      </c>
      <c r="AU10" s="69">
        <v>55.790788859999999</v>
      </c>
      <c r="AV10" s="69"/>
      <c r="AW10" s="69">
        <v>0</v>
      </c>
      <c r="AX10" s="69">
        <v>0</v>
      </c>
      <c r="AZ10" s="43">
        <f t="shared" si="3"/>
        <v>44866</v>
      </c>
      <c r="BA10" s="8"/>
      <c r="BB10" s="8"/>
      <c r="BC10" s="8"/>
      <c r="BD10" s="8"/>
    </row>
    <row r="11" spans="1:62">
      <c r="A11" s="81"/>
      <c r="B11" s="90" t="s">
        <v>208</v>
      </c>
      <c r="C11" s="91"/>
      <c r="D11" s="91"/>
      <c r="E11" s="91"/>
      <c r="F11" s="92"/>
      <c r="G11" s="88">
        <f>+VLOOKUP(($A$1),Sumario!$A$2:$AZ$41,51,(FALSE))</f>
        <v>190</v>
      </c>
      <c r="H11" s="89"/>
      <c r="I11" s="10" t="s">
        <v>206</v>
      </c>
      <c r="J11" s="169"/>
      <c r="K11" s="1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43">
        <v>44896</v>
      </c>
      <c r="AO11" s="69">
        <f t="shared" si="6"/>
        <v>395.14752546</v>
      </c>
      <c r="AP11" s="69">
        <f t="shared" si="2"/>
        <v>0</v>
      </c>
      <c r="AQ11" s="69">
        <f t="shared" si="2"/>
        <v>0</v>
      </c>
      <c r="AR11" s="69">
        <f t="shared" si="2"/>
        <v>0</v>
      </c>
      <c r="AT11" s="15">
        <v>44917</v>
      </c>
      <c r="AU11" s="69">
        <v>29.039317920000002</v>
      </c>
      <c r="AV11" s="69"/>
      <c r="AW11" s="69">
        <v>0</v>
      </c>
      <c r="AX11" s="69">
        <v>0</v>
      </c>
      <c r="AZ11" s="43">
        <f t="shared" si="3"/>
        <v>44896</v>
      </c>
      <c r="BA11" s="8">
        <v>0</v>
      </c>
      <c r="BB11" s="8">
        <v>0</v>
      </c>
      <c r="BC11" s="8">
        <v>0</v>
      </c>
      <c r="BD11" s="8">
        <v>0</v>
      </c>
    </row>
    <row r="12" spans="1:62">
      <c r="A12" s="81"/>
      <c r="B12" s="90" t="s">
        <v>209</v>
      </c>
      <c r="C12" s="91"/>
      <c r="D12" s="91"/>
      <c r="E12" s="91"/>
      <c r="F12" s="92"/>
      <c r="G12" s="93">
        <f>+VLOOKUP(($A$1),Sumario!$A$2:$AW$41,43,(FALSE))</f>
        <v>22</v>
      </c>
      <c r="H12" s="92"/>
      <c r="I12" s="9" t="s">
        <v>206</v>
      </c>
      <c r="J12" s="169"/>
      <c r="K12" s="1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71">
        <v>44927</v>
      </c>
      <c r="AO12" s="69">
        <f t="shared" si="6"/>
        <v>405.32577598</v>
      </c>
      <c r="AP12" s="69">
        <f t="shared" si="2"/>
        <v>0</v>
      </c>
      <c r="AQ12" s="69">
        <f t="shared" si="2"/>
        <v>0</v>
      </c>
      <c r="AR12" s="69">
        <f t="shared" si="2"/>
        <v>0</v>
      </c>
      <c r="AT12" s="15">
        <v>44949</v>
      </c>
      <c r="AU12" s="69">
        <v>10.178250519999999</v>
      </c>
      <c r="AV12" s="69">
        <v>0</v>
      </c>
      <c r="AW12" s="69">
        <v>0</v>
      </c>
      <c r="AX12" s="69">
        <v>0</v>
      </c>
      <c r="AZ12" s="43">
        <f t="shared" si="3"/>
        <v>44927</v>
      </c>
      <c r="BA12" s="8">
        <v>0</v>
      </c>
      <c r="BB12" s="8">
        <v>0</v>
      </c>
      <c r="BC12" s="8">
        <v>1</v>
      </c>
      <c r="BD12" s="8">
        <v>0</v>
      </c>
    </row>
    <row r="13" spans="1:62">
      <c r="A13" s="81"/>
      <c r="B13" s="90" t="s">
        <v>210</v>
      </c>
      <c r="C13" s="91"/>
      <c r="D13" s="91"/>
      <c r="E13" s="91"/>
      <c r="F13" s="92"/>
      <c r="G13" s="94">
        <f>+VLOOKUP(($A$1),Sumario!$A$2:$AW$41,44,(FALSE))</f>
        <v>208</v>
      </c>
      <c r="H13" s="95"/>
      <c r="I13" s="37" t="s">
        <v>206</v>
      </c>
      <c r="J13" s="169"/>
      <c r="K13" s="12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43">
        <v>44958</v>
      </c>
      <c r="AO13" s="69">
        <f t="shared" si="6"/>
        <v>405.32577598</v>
      </c>
      <c r="AP13" s="69">
        <f t="shared" si="2"/>
        <v>83.354673230000003</v>
      </c>
      <c r="AQ13" s="69">
        <f t="shared" si="2"/>
        <v>0</v>
      </c>
      <c r="AR13" s="69">
        <f t="shared" si="2"/>
        <v>11.75</v>
      </c>
      <c r="AT13" s="15">
        <v>44980</v>
      </c>
      <c r="AU13" s="69"/>
      <c r="AV13" s="69">
        <v>83.354673230000003</v>
      </c>
      <c r="AW13" s="69">
        <v>0</v>
      </c>
      <c r="AX13" s="69">
        <v>11.75</v>
      </c>
      <c r="AZ13" s="43">
        <f t="shared" si="3"/>
        <v>44958</v>
      </c>
      <c r="BA13" s="8">
        <v>0</v>
      </c>
      <c r="BB13" s="8">
        <v>0</v>
      </c>
      <c r="BC13" s="8">
        <v>1</v>
      </c>
      <c r="BD13" s="8">
        <v>0</v>
      </c>
    </row>
    <row r="14" spans="1:62">
      <c r="A14" s="81"/>
      <c r="B14" s="90" t="s">
        <v>211</v>
      </c>
      <c r="C14" s="91"/>
      <c r="D14" s="91"/>
      <c r="E14" s="91"/>
      <c r="F14" s="92"/>
      <c r="G14" s="96">
        <f>+VLOOKUP(($A$1),Sumario!$A$2:$AZ$41,50,(FALSE))</f>
        <v>44768</v>
      </c>
      <c r="H14" s="97"/>
      <c r="I14" s="97"/>
      <c r="J14" s="163"/>
      <c r="K14" s="17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43">
        <v>44986</v>
      </c>
      <c r="AO14" s="69">
        <f t="shared" si="6"/>
        <v>405.32577598</v>
      </c>
      <c r="AP14" s="69">
        <f t="shared" si="2"/>
        <v>177.44449916000002</v>
      </c>
      <c r="AQ14" s="69">
        <f t="shared" si="2"/>
        <v>0</v>
      </c>
      <c r="AR14" s="69">
        <f t="shared" si="2"/>
        <v>69.259999999999991</v>
      </c>
      <c r="AT14" s="15">
        <v>45008</v>
      </c>
      <c r="AU14" s="69"/>
      <c r="AV14" s="69">
        <v>94.089825930000003</v>
      </c>
      <c r="AW14" s="69">
        <v>0</v>
      </c>
      <c r="AX14" s="69">
        <v>57.51</v>
      </c>
      <c r="AZ14" s="43">
        <f t="shared" si="3"/>
        <v>44986</v>
      </c>
      <c r="BA14" s="8">
        <v>0</v>
      </c>
      <c r="BB14" s="8">
        <v>0</v>
      </c>
      <c r="BC14" s="8">
        <v>0.88</v>
      </c>
      <c r="BD14" s="8">
        <v>0</v>
      </c>
    </row>
    <row r="15" spans="1:62" ht="15" customHeight="1">
      <c r="A15" s="81"/>
      <c r="B15" s="161" t="s">
        <v>212</v>
      </c>
      <c r="C15" s="91"/>
      <c r="D15" s="91"/>
      <c r="E15" s="91"/>
      <c r="F15" s="92"/>
      <c r="G15" s="162">
        <f>+VLOOKUP(($A$1),Sumario!$A$2:$AW$41,45,(FALSE))</f>
        <v>115</v>
      </c>
      <c r="H15" s="163"/>
      <c r="I15" s="38" t="s">
        <v>206</v>
      </c>
      <c r="J15" s="110" t="s">
        <v>213</v>
      </c>
      <c r="K15" s="11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43">
        <v>45017</v>
      </c>
      <c r="AO15" s="69">
        <f t="shared" si="6"/>
        <v>405.32577598</v>
      </c>
      <c r="AP15" s="69">
        <f t="shared" si="2"/>
        <v>331.77364422000005</v>
      </c>
      <c r="AQ15" s="69">
        <f t="shared" si="2"/>
        <v>0</v>
      </c>
      <c r="AR15" s="69">
        <f t="shared" si="2"/>
        <v>119.25999999999999</v>
      </c>
      <c r="AT15" s="15">
        <v>45039</v>
      </c>
      <c r="AU15" s="69"/>
      <c r="AV15" s="69">
        <v>154.32914506</v>
      </c>
      <c r="AW15" s="69">
        <v>0</v>
      </c>
      <c r="AX15" s="69">
        <v>50</v>
      </c>
      <c r="AZ15" s="43">
        <f t="shared" si="3"/>
        <v>45017</v>
      </c>
      <c r="BA15" s="8">
        <v>0</v>
      </c>
      <c r="BB15" s="8">
        <v>0</v>
      </c>
      <c r="BC15" s="8">
        <v>0.72</v>
      </c>
      <c r="BD15" s="8">
        <v>0</v>
      </c>
    </row>
    <row r="16" spans="1:62" ht="15.75" thickBot="1">
      <c r="A16" s="82"/>
      <c r="B16" s="114" t="s">
        <v>214</v>
      </c>
      <c r="C16" s="115"/>
      <c r="D16" s="115"/>
      <c r="E16" s="115"/>
      <c r="F16" s="116"/>
      <c r="G16" s="165">
        <f>+VLOOKUP(($A$1),Sumario!$A$2:$AW$41,32,(FALSE))</f>
        <v>45164</v>
      </c>
      <c r="H16" s="166"/>
      <c r="I16" s="167"/>
      <c r="J16" s="112"/>
      <c r="K16" s="1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71">
        <v>45047</v>
      </c>
      <c r="AO16" s="69"/>
      <c r="AP16" s="69">
        <f t="shared" si="2"/>
        <v>387.07430662000007</v>
      </c>
      <c r="AQ16" s="69">
        <f t="shared" si="2"/>
        <v>0</v>
      </c>
      <c r="AR16" s="69">
        <f t="shared" si="2"/>
        <v>119.25999999999999</v>
      </c>
      <c r="AT16" s="15">
        <v>45069</v>
      </c>
      <c r="AU16" s="69"/>
      <c r="AV16" s="69">
        <v>55.3006624</v>
      </c>
      <c r="AW16" s="69"/>
      <c r="AX16" s="69"/>
      <c r="AZ16" s="43">
        <f t="shared" si="3"/>
        <v>45047</v>
      </c>
      <c r="BA16" s="8">
        <v>0</v>
      </c>
      <c r="BB16" s="8">
        <v>0</v>
      </c>
      <c r="BC16" s="8">
        <v>0.4</v>
      </c>
      <c r="BD16" s="8">
        <v>0</v>
      </c>
    </row>
    <row r="17" spans="1:56" ht="15.75" thickBo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43">
        <v>45078</v>
      </c>
      <c r="AO17" s="69">
        <f t="shared" si="6"/>
        <v>0</v>
      </c>
      <c r="AP17" s="69">
        <f t="shared" si="2"/>
        <v>477.4140673500001</v>
      </c>
      <c r="AQ17" s="69">
        <f t="shared" si="2"/>
        <v>0</v>
      </c>
      <c r="AR17" s="69">
        <f t="shared" si="2"/>
        <v>119.25999999999999</v>
      </c>
      <c r="AT17" s="15">
        <v>45100</v>
      </c>
      <c r="AU17" s="69"/>
      <c r="AV17" s="69">
        <v>90.339760730000009</v>
      </c>
      <c r="AW17" s="69"/>
      <c r="AX17" s="69"/>
      <c r="AZ17" s="43">
        <f t="shared" si="3"/>
        <v>45078</v>
      </c>
      <c r="BA17" s="8"/>
      <c r="BB17" s="8"/>
      <c r="BC17" s="8"/>
      <c r="BD17" s="8"/>
    </row>
    <row r="18" spans="1:56">
      <c r="A18" s="134" t="s">
        <v>215</v>
      </c>
      <c r="B18" s="137" t="s">
        <v>216</v>
      </c>
      <c r="C18" s="138"/>
      <c r="D18" s="138"/>
      <c r="E18" s="138"/>
      <c r="F18" s="138"/>
      <c r="G18" s="148">
        <f>+VLOOKUP(($A$1),Sumario!$A$2:$AW$41,12,(FALSE))</f>
        <v>458018394.60000002</v>
      </c>
      <c r="H18" s="149"/>
      <c r="I18" s="150"/>
      <c r="J18" s="139">
        <f>G22/G21</f>
        <v>9.8901426005528759E-2</v>
      </c>
      <c r="K18" s="14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43">
        <v>45108</v>
      </c>
      <c r="AO18" s="69">
        <f t="shared" si="6"/>
        <v>0</v>
      </c>
      <c r="AP18" s="69">
        <f t="shared" si="2"/>
        <v>533.22581295000009</v>
      </c>
      <c r="AQ18" s="69">
        <f t="shared" si="2"/>
        <v>0</v>
      </c>
      <c r="AR18" s="69">
        <f t="shared" si="2"/>
        <v>119.25999999999999</v>
      </c>
      <c r="AT18" s="15">
        <v>45130</v>
      </c>
      <c r="AU18" s="69"/>
      <c r="AV18" s="69">
        <v>55.811745600000002</v>
      </c>
      <c r="AW18" s="69"/>
      <c r="AX18" s="69"/>
      <c r="AZ18" s="43">
        <f t="shared" si="3"/>
        <v>45108</v>
      </c>
      <c r="BA18" s="8"/>
      <c r="BB18" s="8"/>
      <c r="BC18" s="8"/>
      <c r="BD18" s="8"/>
    </row>
    <row r="19" spans="1:56">
      <c r="A19" s="135"/>
      <c r="B19" s="90" t="s">
        <v>217</v>
      </c>
      <c r="C19" s="92"/>
      <c r="D19" s="92"/>
      <c r="E19" s="92"/>
      <c r="F19" s="92"/>
      <c r="G19" s="145">
        <f>+VLOOKUP(($A$1),Sumario!$A$2:$AW$41,35,(FALSE))</f>
        <v>199179729.18000001</v>
      </c>
      <c r="H19" s="146"/>
      <c r="I19" s="147"/>
      <c r="J19" s="141"/>
      <c r="K19" s="14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43">
        <v>45139</v>
      </c>
      <c r="AO19" s="69">
        <f t="shared" si="6"/>
        <v>0</v>
      </c>
      <c r="AP19" s="69">
        <f t="shared" si="2"/>
        <v>604.5055051600001</v>
      </c>
      <c r="AQ19" s="69">
        <f t="shared" si="2"/>
        <v>0</v>
      </c>
      <c r="AR19" s="69">
        <f t="shared" si="2"/>
        <v>119.25999999999999</v>
      </c>
      <c r="AT19" s="15">
        <v>45161</v>
      </c>
      <c r="AU19" s="69"/>
      <c r="AV19" s="69">
        <v>71.279692209999993</v>
      </c>
      <c r="AW19" s="69"/>
      <c r="AX19" s="69"/>
      <c r="AZ19" s="43">
        <f t="shared" si="3"/>
        <v>45139</v>
      </c>
      <c r="BA19" s="8"/>
      <c r="BB19" s="8"/>
      <c r="BC19" s="8"/>
      <c r="BD19" s="8"/>
    </row>
    <row r="20" spans="1:56">
      <c r="A20" s="135"/>
      <c r="B20" s="90" t="s">
        <v>218</v>
      </c>
      <c r="C20" s="92"/>
      <c r="D20" s="92"/>
      <c r="E20" s="92"/>
      <c r="F20" s="92"/>
      <c r="G20" s="145">
        <f>+VLOOKUP(($A$1),Sumario!$A$2:$AW$41,37,(FALSE))</f>
        <v>0</v>
      </c>
      <c r="H20" s="146"/>
      <c r="I20" s="147"/>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5"/>
      <c r="AO20" s="69"/>
      <c r="AP20" s="69"/>
      <c r="AQ20" s="69"/>
      <c r="AR20" s="69"/>
      <c r="AT20" s="15"/>
      <c r="AU20" s="69"/>
      <c r="AV20" s="69"/>
      <c r="AW20" s="69"/>
      <c r="AX20" s="69"/>
      <c r="AZ20" s="70"/>
      <c r="BA20" s="8"/>
      <c r="BB20" s="8"/>
      <c r="BC20" s="8"/>
      <c r="BD20" s="8"/>
    </row>
    <row r="21" spans="1:56">
      <c r="A21" s="135"/>
      <c r="B21" s="161" t="s">
        <v>219</v>
      </c>
      <c r="C21" s="92"/>
      <c r="D21" s="92"/>
      <c r="E21" s="92"/>
      <c r="F21" s="92"/>
      <c r="G21" s="160">
        <f>+G18+G19+G20</f>
        <v>657198123.77999997</v>
      </c>
      <c r="H21" s="146"/>
      <c r="I21" s="147"/>
      <c r="J21" s="143"/>
      <c r="K21" s="14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5"/>
      <c r="AO21" s="69"/>
      <c r="AP21" s="69"/>
      <c r="AQ21" s="69"/>
      <c r="AR21" s="69"/>
      <c r="AT21" s="15"/>
      <c r="AU21" s="69"/>
      <c r="AV21" s="69"/>
      <c r="AW21" s="69"/>
      <c r="AX21" s="69"/>
      <c r="AZ21" s="70"/>
      <c r="BA21" s="8"/>
      <c r="BB21" s="8"/>
      <c r="BC21" s="8"/>
      <c r="BD21" s="8"/>
    </row>
    <row r="22" spans="1:56">
      <c r="A22" s="135"/>
      <c r="B22" s="161" t="s">
        <v>220</v>
      </c>
      <c r="C22" s="92"/>
      <c r="D22" s="92"/>
      <c r="E22" s="92"/>
      <c r="F22" s="92"/>
      <c r="G22" s="160">
        <f>+VLOOKUP(($A$1),Sumario!$A$2:$AW$41,39,(FALSE))</f>
        <v>64997831.609999999</v>
      </c>
      <c r="H22" s="146"/>
      <c r="I22" s="147"/>
      <c r="J22" s="151" t="s">
        <v>221</v>
      </c>
      <c r="K22" s="1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5"/>
      <c r="AO22" s="69"/>
      <c r="AP22" s="69"/>
      <c r="AQ22" s="69"/>
      <c r="AR22" s="69"/>
      <c r="AT22" s="15"/>
      <c r="AU22" s="69"/>
      <c r="AV22" s="69"/>
      <c r="AW22" s="69"/>
      <c r="AX22" s="69"/>
      <c r="AZ22" s="70"/>
      <c r="BA22" s="41"/>
      <c r="BB22" s="41"/>
      <c r="BC22" s="41"/>
      <c r="BD22" s="41"/>
    </row>
    <row r="23" spans="1:56" ht="15.75" customHeight="1" thickBot="1">
      <c r="A23" s="136"/>
      <c r="B23" s="155" t="s">
        <v>222</v>
      </c>
      <c r="C23" s="156"/>
      <c r="D23" s="156"/>
      <c r="E23" s="156"/>
      <c r="F23" s="156"/>
      <c r="G23" s="157">
        <f>+VLOOKUP(($A$1),Sumario!$A$2:$AZ$41,52,(FALSE))</f>
        <v>52114513.359999999</v>
      </c>
      <c r="H23" s="158"/>
      <c r="I23" s="159"/>
      <c r="J23" s="153"/>
      <c r="K23" s="15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5"/>
      <c r="AO23" s="69"/>
      <c r="AP23" s="69"/>
      <c r="AQ23" s="69"/>
      <c r="AR23" s="69"/>
      <c r="AT23" s="15"/>
      <c r="AU23" s="69"/>
      <c r="AV23" s="69"/>
      <c r="AW23" s="69"/>
      <c r="AX23" s="69"/>
      <c r="AZ23" s="39"/>
      <c r="BA23" s="8"/>
      <c r="BB23" s="8"/>
      <c r="BC23" s="8"/>
      <c r="BD23" s="8"/>
    </row>
    <row r="24" spans="1:56" ht="15.75" customHeight="1"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5"/>
      <c r="AO24" s="69"/>
      <c r="AP24" s="69"/>
      <c r="AQ24" s="69"/>
      <c r="AR24" s="69"/>
      <c r="AT24" s="15"/>
      <c r="AU24" s="69"/>
      <c r="AV24" s="69"/>
      <c r="AW24" s="69"/>
      <c r="AX24" s="69"/>
      <c r="AZ24" s="39"/>
      <c r="BA24" s="8"/>
      <c r="BB24" s="8"/>
      <c r="BC24" s="8"/>
      <c r="BD24" s="8"/>
    </row>
    <row r="25" spans="1:56" ht="15" customHeight="1" thickBot="1">
      <c r="A25" s="83" t="s">
        <v>223</v>
      </c>
      <c r="B25" s="84"/>
      <c r="C25" s="84"/>
      <c r="D25" s="87"/>
      <c r="E25" s="117" t="str">
        <f>+VLOOKUP(($A$1),Sumario!$A$2:$AZ$41,4,(FALSE))</f>
        <v>Fondo Vial</v>
      </c>
      <c r="F25" s="91"/>
      <c r="G25" s="91"/>
      <c r="H25" s="91"/>
      <c r="I25" s="91"/>
      <c r="J25" s="91"/>
      <c r="K25" s="118"/>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5"/>
      <c r="AO25" s="69"/>
      <c r="AP25" s="69"/>
      <c r="AQ25" s="69"/>
      <c r="AR25" s="69"/>
      <c r="AT25" s="15"/>
      <c r="AU25" s="69"/>
      <c r="AV25" s="69"/>
      <c r="AW25" s="69"/>
      <c r="AX25" s="69"/>
      <c r="AZ25" s="39"/>
      <c r="BA25" s="8"/>
      <c r="BB25" s="8"/>
      <c r="BC25" s="8"/>
      <c r="BD25" s="8"/>
    </row>
    <row r="26" spans="1:56" ht="15" customHeight="1">
      <c r="A26" s="83" t="s">
        <v>224</v>
      </c>
      <c r="B26" s="84"/>
      <c r="C26" s="84"/>
      <c r="D26" s="87"/>
      <c r="E26" s="117" t="str">
        <f>+VLOOKUP(($A$1),Sumario!$A$2:$AZ$41,11,(FALSE))</f>
        <v>Constructora MECO S.A.</v>
      </c>
      <c r="F26" s="91"/>
      <c r="G26" s="91"/>
      <c r="H26" s="91"/>
      <c r="I26" s="91"/>
      <c r="J26" s="91"/>
      <c r="K26" s="118"/>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5"/>
      <c r="AO26" s="69"/>
      <c r="AP26" s="69"/>
      <c r="AQ26" s="69"/>
      <c r="AR26" s="69"/>
      <c r="AT26" s="15"/>
      <c r="AU26" s="69"/>
      <c r="AV26" s="69"/>
      <c r="AW26" s="69"/>
      <c r="AX26" s="69"/>
      <c r="AZ26" s="39"/>
      <c r="BA26" s="8"/>
      <c r="BB26" s="8"/>
      <c r="BC26" s="8"/>
      <c r="BD26" s="8"/>
    </row>
    <row r="27" spans="1: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5"/>
      <c r="AO27" s="69"/>
      <c r="AP27" s="69"/>
      <c r="AQ27" s="69"/>
      <c r="AR27" s="69"/>
      <c r="AT27" s="15"/>
      <c r="AU27" s="69"/>
      <c r="AV27" s="69"/>
      <c r="AW27" s="69"/>
      <c r="AX27" s="69"/>
      <c r="AZ27" s="39"/>
      <c r="BA27" s="8"/>
      <c r="BB27" s="8"/>
      <c r="BC27" s="8"/>
      <c r="BD27" s="8"/>
    </row>
    <row r="28" spans="1:56" ht="15" customHeight="1" thickBot="1">
      <c r="A28" s="11" t="s">
        <v>225</v>
      </c>
      <c r="B28" s="11"/>
      <c r="C28" s="11"/>
      <c r="D28" s="11"/>
      <c r="E28" s="11"/>
      <c r="F28" s="12"/>
      <c r="G28" s="12"/>
      <c r="H28" s="12"/>
      <c r="I28" s="12"/>
      <c r="J28" s="11" t="s">
        <v>226</v>
      </c>
      <c r="K28" s="12"/>
      <c r="L28" s="13"/>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7"/>
      <c r="AO28" s="69"/>
      <c r="AP28" s="69"/>
      <c r="AQ28" s="69"/>
      <c r="AR28" s="69"/>
      <c r="AT28" s="17"/>
      <c r="AU28" s="69"/>
      <c r="AV28" s="69"/>
      <c r="AW28" s="69"/>
      <c r="AX28" s="69"/>
      <c r="AZ28" s="40"/>
      <c r="BA28" s="8"/>
      <c r="BB28" s="8"/>
      <c r="BC28" s="8"/>
      <c r="BD28" s="8"/>
    </row>
    <row r="29" spans="1:56" ht="15" customHeight="1">
      <c r="A29" s="119"/>
      <c r="B29" s="120"/>
      <c r="C29" s="120"/>
      <c r="D29" s="120"/>
      <c r="E29" s="120"/>
      <c r="F29" s="120"/>
      <c r="G29" s="120"/>
      <c r="H29" s="121"/>
      <c r="I29" s="125" t="str">
        <f>+VLOOKUP(($A$1),Sumario!$A$2:$AZ$41,48,(FALSE))</f>
        <v xml:space="preserve">Proyecto activo. Construcción de bastiones, escolleras, cordón y caño 								</v>
      </c>
      <c r="J29" s="126"/>
      <c r="K29" s="126"/>
      <c r="L29" s="126"/>
      <c r="M29" s="126"/>
      <c r="N29" s="126"/>
      <c r="O29" s="126"/>
      <c r="P29" s="126"/>
      <c r="Q29" s="126"/>
      <c r="R29" s="126"/>
      <c r="S29" s="126"/>
      <c r="T29" s="126"/>
      <c r="U29" s="126"/>
      <c r="V29" s="126"/>
      <c r="W29" s="127"/>
      <c r="X29" s="1"/>
      <c r="Y29" s="1"/>
      <c r="Z29" s="1"/>
      <c r="AA29" s="1"/>
      <c r="AB29" s="1"/>
      <c r="AC29" s="1"/>
      <c r="AD29" s="1"/>
      <c r="AE29" s="1"/>
      <c r="AF29" s="1"/>
      <c r="AG29" s="1"/>
      <c r="AH29" s="1"/>
      <c r="AI29" s="1"/>
      <c r="AJ29" s="1"/>
      <c r="AK29" s="1"/>
      <c r="AL29" s="1"/>
      <c r="AM29" s="1"/>
      <c r="AN29" s="15"/>
      <c r="AO29" s="69"/>
      <c r="AP29" s="69"/>
      <c r="AQ29" s="69"/>
      <c r="AR29" s="69"/>
      <c r="AT29" s="15"/>
      <c r="AU29" s="69"/>
      <c r="AV29" s="69"/>
      <c r="AW29" s="69"/>
      <c r="AX29" s="69"/>
      <c r="AZ29" s="39"/>
      <c r="BA29" s="8"/>
      <c r="BB29" s="8"/>
      <c r="BC29" s="8"/>
      <c r="BD29" s="8"/>
    </row>
    <row r="30" spans="1:56" ht="15" customHeight="1">
      <c r="A30" s="81"/>
      <c r="B30" s="122"/>
      <c r="C30" s="122"/>
      <c r="D30" s="122"/>
      <c r="E30" s="122"/>
      <c r="F30" s="122"/>
      <c r="G30" s="122"/>
      <c r="H30" s="123"/>
      <c r="I30" s="128"/>
      <c r="J30" s="129"/>
      <c r="K30" s="129"/>
      <c r="L30" s="129"/>
      <c r="M30" s="129"/>
      <c r="N30" s="129"/>
      <c r="O30" s="129"/>
      <c r="P30" s="129"/>
      <c r="Q30" s="129"/>
      <c r="R30" s="129"/>
      <c r="S30" s="129"/>
      <c r="T30" s="129"/>
      <c r="U30" s="129"/>
      <c r="V30" s="129"/>
      <c r="W30" s="130"/>
      <c r="X30" s="1"/>
      <c r="Y30" s="1"/>
      <c r="Z30" s="1"/>
      <c r="AA30" s="1"/>
      <c r="AB30" s="1"/>
      <c r="AC30" s="1"/>
      <c r="AD30" s="1"/>
      <c r="AE30" s="1"/>
      <c r="AF30" s="1"/>
      <c r="AG30" s="1"/>
      <c r="AH30" s="1"/>
      <c r="AI30" s="1"/>
      <c r="AJ30" s="1"/>
      <c r="AK30" s="1"/>
      <c r="AL30" s="1"/>
      <c r="AM30" s="1"/>
      <c r="AN30" s="15"/>
      <c r="AO30" s="69"/>
      <c r="AP30" s="69"/>
      <c r="AQ30" s="69"/>
      <c r="AR30" s="69"/>
      <c r="AT30" s="15"/>
      <c r="AU30" s="69"/>
      <c r="AV30" s="69"/>
      <c r="AW30" s="69"/>
      <c r="AX30" s="69"/>
      <c r="AZ30" s="39"/>
      <c r="BA30" s="8"/>
      <c r="BB30" s="8"/>
      <c r="BC30" s="8"/>
      <c r="BD30" s="8"/>
    </row>
    <row r="31" spans="1:56" ht="15" customHeight="1">
      <c r="A31" s="81"/>
      <c r="B31" s="122"/>
      <c r="C31" s="122"/>
      <c r="D31" s="122"/>
      <c r="E31" s="122"/>
      <c r="F31" s="122"/>
      <c r="G31" s="122"/>
      <c r="H31" s="123"/>
      <c r="I31" s="128"/>
      <c r="J31" s="129"/>
      <c r="K31" s="129"/>
      <c r="L31" s="129"/>
      <c r="M31" s="129"/>
      <c r="N31" s="129"/>
      <c r="O31" s="129"/>
      <c r="P31" s="129"/>
      <c r="Q31" s="129"/>
      <c r="R31" s="129"/>
      <c r="S31" s="129"/>
      <c r="T31" s="129"/>
      <c r="U31" s="129"/>
      <c r="V31" s="129"/>
      <c r="W31" s="130"/>
      <c r="X31" s="1"/>
      <c r="Y31" s="1"/>
      <c r="Z31" s="1"/>
      <c r="AA31" s="1"/>
      <c r="AB31" s="1"/>
      <c r="AC31" s="1"/>
      <c r="AD31" s="1"/>
      <c r="AE31" s="1"/>
      <c r="AF31" s="1"/>
      <c r="AG31" s="1"/>
      <c r="AH31" s="1"/>
      <c r="AI31" s="1"/>
      <c r="AJ31" s="1"/>
      <c r="AK31" s="1"/>
      <c r="AL31" s="1"/>
      <c r="AM31" s="1"/>
      <c r="AN31" s="15"/>
      <c r="AO31" s="69"/>
      <c r="AP31" s="69"/>
      <c r="AQ31" s="69"/>
      <c r="AR31" s="69"/>
      <c r="AT31" s="15"/>
      <c r="AU31" s="69"/>
      <c r="AV31" s="69"/>
      <c r="AW31" s="69"/>
      <c r="AX31" s="69"/>
      <c r="AZ31" s="39"/>
      <c r="BA31" s="8"/>
      <c r="BB31" s="8"/>
      <c r="BC31" s="8"/>
      <c r="BD31" s="8"/>
    </row>
    <row r="32" spans="1:56" ht="15" customHeight="1">
      <c r="A32" s="81"/>
      <c r="B32" s="122"/>
      <c r="C32" s="122"/>
      <c r="D32" s="122"/>
      <c r="E32" s="122"/>
      <c r="F32" s="122"/>
      <c r="G32" s="122"/>
      <c r="H32" s="123"/>
      <c r="I32" s="128"/>
      <c r="J32" s="129"/>
      <c r="K32" s="129"/>
      <c r="L32" s="129"/>
      <c r="M32" s="129"/>
      <c r="N32" s="129"/>
      <c r="O32" s="129"/>
      <c r="P32" s="129"/>
      <c r="Q32" s="129"/>
      <c r="R32" s="129"/>
      <c r="S32" s="129"/>
      <c r="T32" s="129"/>
      <c r="U32" s="129"/>
      <c r="V32" s="129"/>
      <c r="W32" s="130"/>
      <c r="X32" s="1"/>
      <c r="Y32" s="1"/>
      <c r="Z32" s="1"/>
      <c r="AA32" s="1"/>
      <c r="AB32" s="1"/>
      <c r="AC32" s="1"/>
      <c r="AD32" s="1"/>
      <c r="AE32" s="1"/>
      <c r="AF32" s="1"/>
      <c r="AG32" s="1"/>
      <c r="AH32" s="1"/>
      <c r="AI32" s="1"/>
      <c r="AJ32" s="1"/>
      <c r="AK32" s="1"/>
      <c r="AL32" s="1"/>
      <c r="AM32" s="1"/>
      <c r="AN32" s="15"/>
      <c r="AO32" s="69"/>
      <c r="AP32" s="69"/>
      <c r="AQ32" s="69"/>
      <c r="AR32" s="69"/>
      <c r="AT32" s="15"/>
      <c r="AU32" s="69"/>
      <c r="AV32" s="69"/>
      <c r="AW32" s="69"/>
      <c r="AX32" s="69"/>
      <c r="AZ32" s="39"/>
      <c r="BA32" s="8"/>
      <c r="BB32" s="8"/>
      <c r="BC32" s="8"/>
      <c r="BD32" s="8"/>
    </row>
    <row r="33" spans="1:56" ht="15" customHeight="1">
      <c r="A33" s="81"/>
      <c r="B33" s="122"/>
      <c r="C33" s="122"/>
      <c r="D33" s="122"/>
      <c r="E33" s="122"/>
      <c r="F33" s="122"/>
      <c r="G33" s="122"/>
      <c r="H33" s="123"/>
      <c r="I33" s="128"/>
      <c r="J33" s="129"/>
      <c r="K33" s="129"/>
      <c r="L33" s="129"/>
      <c r="M33" s="129"/>
      <c r="N33" s="129"/>
      <c r="O33" s="129"/>
      <c r="P33" s="129"/>
      <c r="Q33" s="129"/>
      <c r="R33" s="129"/>
      <c r="S33" s="129"/>
      <c r="T33" s="129"/>
      <c r="U33" s="129"/>
      <c r="V33" s="129"/>
      <c r="W33" s="130"/>
      <c r="X33" s="1"/>
      <c r="Y33" s="1"/>
      <c r="Z33" s="1"/>
      <c r="AA33" s="1"/>
      <c r="AB33" s="1"/>
      <c r="AC33" s="1"/>
      <c r="AD33" s="1"/>
      <c r="AE33" s="1"/>
      <c r="AF33" s="1"/>
      <c r="AG33" s="1"/>
      <c r="AH33" s="1"/>
      <c r="AI33" s="1"/>
      <c r="AJ33" s="1"/>
      <c r="AK33" s="1"/>
      <c r="AL33" s="1"/>
      <c r="AM33" s="1"/>
      <c r="AN33" s="15"/>
      <c r="AO33" s="69"/>
      <c r="AP33" s="69"/>
      <c r="AQ33" s="69"/>
      <c r="AR33" s="69"/>
      <c r="AT33" s="15"/>
      <c r="AU33" s="69"/>
      <c r="AV33" s="69"/>
      <c r="AW33" s="69"/>
      <c r="AX33" s="69"/>
      <c r="AZ33" s="15"/>
      <c r="BA33" s="42"/>
      <c r="BB33" s="42"/>
      <c r="BC33" s="42"/>
      <c r="BD33" s="42"/>
    </row>
    <row r="34" spans="1:56" ht="15" customHeight="1">
      <c r="A34" s="81"/>
      <c r="B34" s="122"/>
      <c r="C34" s="122"/>
      <c r="D34" s="122"/>
      <c r="E34" s="122"/>
      <c r="F34" s="122"/>
      <c r="G34" s="122"/>
      <c r="H34" s="123"/>
      <c r="I34" s="128"/>
      <c r="J34" s="129"/>
      <c r="K34" s="129"/>
      <c r="L34" s="129"/>
      <c r="M34" s="129"/>
      <c r="N34" s="129"/>
      <c r="O34" s="129"/>
      <c r="P34" s="129"/>
      <c r="Q34" s="129"/>
      <c r="R34" s="129"/>
      <c r="S34" s="129"/>
      <c r="T34" s="129"/>
      <c r="U34" s="129"/>
      <c r="V34" s="129"/>
      <c r="W34" s="130"/>
      <c r="X34" s="1"/>
      <c r="Y34" s="1"/>
      <c r="Z34" s="1"/>
      <c r="AA34" s="1"/>
      <c r="AB34" s="1"/>
      <c r="AC34" s="1"/>
      <c r="AD34" s="1"/>
      <c r="AE34" s="1"/>
      <c r="AF34" s="1"/>
      <c r="AG34" s="1"/>
      <c r="AH34" s="1"/>
      <c r="AI34" s="1"/>
      <c r="AJ34" s="1"/>
      <c r="AK34" s="1"/>
      <c r="AL34" s="1"/>
      <c r="AM34" s="1"/>
      <c r="AN34" s="15"/>
      <c r="AO34" s="69"/>
      <c r="AP34" s="69"/>
      <c r="AQ34" s="69"/>
      <c r="AR34" s="69"/>
      <c r="AT34" s="15"/>
      <c r="AU34" s="69"/>
      <c r="AV34" s="69"/>
      <c r="AW34" s="69"/>
      <c r="AX34" s="69"/>
      <c r="AZ34" s="15"/>
      <c r="BA34" s="8"/>
      <c r="BB34" s="8"/>
      <c r="BC34" s="8"/>
      <c r="BD34" s="8"/>
    </row>
    <row r="35" spans="1:56" ht="15" customHeight="1">
      <c r="A35" s="81"/>
      <c r="B35" s="122"/>
      <c r="C35" s="122"/>
      <c r="D35" s="122"/>
      <c r="E35" s="122"/>
      <c r="F35" s="122"/>
      <c r="G35" s="122"/>
      <c r="H35" s="123"/>
      <c r="I35" s="128"/>
      <c r="J35" s="129"/>
      <c r="K35" s="129"/>
      <c r="L35" s="129"/>
      <c r="M35" s="129"/>
      <c r="N35" s="129"/>
      <c r="O35" s="129"/>
      <c r="P35" s="129"/>
      <c r="Q35" s="129"/>
      <c r="R35" s="129"/>
      <c r="S35" s="129"/>
      <c r="T35" s="129"/>
      <c r="U35" s="129"/>
      <c r="V35" s="129"/>
      <c r="W35" s="130"/>
      <c r="X35" s="1"/>
      <c r="Y35" s="1"/>
      <c r="Z35" s="1"/>
      <c r="AA35" s="1"/>
      <c r="AB35" s="1"/>
      <c r="AC35" s="1"/>
      <c r="AD35" s="1"/>
      <c r="AE35" s="1"/>
      <c r="AF35" s="1"/>
      <c r="AG35" s="1"/>
      <c r="AH35" s="1"/>
      <c r="AI35" s="1"/>
      <c r="AJ35" s="1"/>
      <c r="AK35" s="1"/>
      <c r="AL35" s="1"/>
      <c r="AM35" s="1"/>
      <c r="AN35" s="15"/>
      <c r="AO35" s="69"/>
      <c r="AP35" s="69"/>
      <c r="AQ35" s="69"/>
      <c r="AR35" s="69"/>
      <c r="AT35" s="15"/>
      <c r="AU35" s="69"/>
      <c r="AV35" s="69"/>
      <c r="AW35" s="69"/>
      <c r="AX35" s="69"/>
      <c r="AZ35" s="15"/>
      <c r="BA35" s="8"/>
      <c r="BB35" s="8"/>
      <c r="BC35" s="8"/>
      <c r="BD35" s="8"/>
    </row>
    <row r="36" spans="1:56" ht="15" customHeight="1">
      <c r="A36" s="81"/>
      <c r="B36" s="122"/>
      <c r="C36" s="122"/>
      <c r="D36" s="122"/>
      <c r="E36" s="122"/>
      <c r="F36" s="122"/>
      <c r="G36" s="122"/>
      <c r="H36" s="123"/>
      <c r="I36" s="128"/>
      <c r="J36" s="129"/>
      <c r="K36" s="129"/>
      <c r="L36" s="129"/>
      <c r="M36" s="129"/>
      <c r="N36" s="129"/>
      <c r="O36" s="129"/>
      <c r="P36" s="129"/>
      <c r="Q36" s="129"/>
      <c r="R36" s="129"/>
      <c r="S36" s="129"/>
      <c r="T36" s="129"/>
      <c r="U36" s="129"/>
      <c r="V36" s="129"/>
      <c r="W36" s="130"/>
      <c r="X36" s="1"/>
      <c r="Y36" s="1"/>
      <c r="Z36" s="1"/>
      <c r="AA36" s="1"/>
      <c r="AB36" s="1"/>
      <c r="AC36" s="1"/>
      <c r="AD36" s="1"/>
      <c r="AE36" s="1"/>
      <c r="AF36" s="1"/>
      <c r="AG36" s="1"/>
      <c r="AH36" s="1"/>
      <c r="AI36" s="1"/>
      <c r="AJ36" s="1"/>
      <c r="AK36" s="1"/>
      <c r="AL36" s="1"/>
      <c r="AM36" s="1"/>
      <c r="AN36" s="15"/>
      <c r="AO36" s="69"/>
      <c r="AP36" s="69"/>
      <c r="AQ36" s="69"/>
      <c r="AR36" s="69"/>
      <c r="AT36" s="15"/>
      <c r="AU36" s="69"/>
      <c r="AV36" s="69"/>
      <c r="AW36" s="69"/>
      <c r="AX36" s="69"/>
      <c r="AZ36" s="15"/>
      <c r="BA36" s="8"/>
      <c r="BB36" s="8"/>
      <c r="BC36" s="8"/>
      <c r="BD36" s="8"/>
    </row>
    <row r="37" spans="1:56" ht="15" customHeight="1" thickBot="1">
      <c r="A37" s="82"/>
      <c r="B37" s="124"/>
      <c r="C37" s="124"/>
      <c r="D37" s="124"/>
      <c r="E37" s="124"/>
      <c r="F37" s="124"/>
      <c r="G37" s="124"/>
      <c r="H37" s="113"/>
      <c r="I37" s="131"/>
      <c r="J37" s="132"/>
      <c r="K37" s="132"/>
      <c r="L37" s="132"/>
      <c r="M37" s="132"/>
      <c r="N37" s="132"/>
      <c r="O37" s="132"/>
      <c r="P37" s="132"/>
      <c r="Q37" s="132"/>
      <c r="R37" s="132"/>
      <c r="S37" s="132"/>
      <c r="T37" s="132"/>
      <c r="U37" s="132"/>
      <c r="V37" s="132"/>
      <c r="W37" s="133"/>
      <c r="X37" s="1"/>
      <c r="Y37" s="1"/>
      <c r="Z37" s="1"/>
      <c r="AA37" s="1"/>
      <c r="AB37" s="1"/>
      <c r="AC37" s="1"/>
      <c r="AD37" s="1"/>
      <c r="AE37" s="1"/>
      <c r="AF37" s="1"/>
      <c r="AG37" s="1"/>
      <c r="AH37" s="1"/>
      <c r="AI37" s="1"/>
      <c r="AJ37" s="1"/>
      <c r="AK37" s="1"/>
      <c r="AL37" s="1"/>
      <c r="AM37" s="1"/>
      <c r="AN37" s="15"/>
      <c r="AO37" s="69"/>
      <c r="AP37" s="69"/>
      <c r="AQ37" s="69"/>
      <c r="AR37" s="69"/>
      <c r="AT37" s="15"/>
      <c r="AU37" s="69"/>
      <c r="AV37" s="69"/>
      <c r="AW37" s="69"/>
      <c r="AX37" s="69"/>
      <c r="AZ37" s="15"/>
      <c r="BA37" s="8"/>
      <c r="BB37" s="8"/>
      <c r="BC37" s="8"/>
      <c r="BD37" s="18"/>
    </row>
    <row r="38" spans="1:56" ht="15" customHeight="1">
      <c r="A38" s="14"/>
      <c r="B38" s="14"/>
      <c r="C38" s="14"/>
      <c r="D38" s="14"/>
      <c r="E38" s="14"/>
      <c r="F38" s="14"/>
      <c r="G38" s="14"/>
      <c r="H38" s="14"/>
      <c r="I38" s="14"/>
      <c r="J38" s="14"/>
      <c r="K38" s="14"/>
      <c r="L38" s="14"/>
      <c r="M38" s="14"/>
      <c r="N38" s="14"/>
      <c r="O38" s="14"/>
      <c r="P38" s="14"/>
      <c r="Q38" s="14"/>
      <c r="R38" s="14"/>
      <c r="S38" s="14"/>
      <c r="AN38" s="15"/>
      <c r="AO38" s="69"/>
      <c r="AP38" s="69"/>
      <c r="AQ38" s="69"/>
      <c r="AR38" s="69"/>
      <c r="AT38" s="15"/>
      <c r="AU38" s="69"/>
      <c r="AV38" s="69"/>
      <c r="AW38" s="69"/>
      <c r="AX38" s="69"/>
      <c r="AZ38" s="15"/>
      <c r="BA38" s="8"/>
      <c r="BB38" s="8"/>
      <c r="BC38" s="8"/>
      <c r="BD38" s="8"/>
    </row>
    <row r="39" spans="1:56" ht="15.75" customHeight="1">
      <c r="A39" s="14"/>
      <c r="B39" s="14"/>
      <c r="C39" s="14"/>
      <c r="D39" s="14"/>
      <c r="E39" s="14"/>
      <c r="F39" s="14"/>
      <c r="G39" s="14"/>
      <c r="H39" s="14"/>
      <c r="I39" s="14"/>
      <c r="J39" s="14"/>
      <c r="K39" s="14"/>
      <c r="L39" s="14"/>
      <c r="M39" s="14"/>
      <c r="N39" s="14"/>
      <c r="O39" s="14"/>
      <c r="P39" s="14"/>
      <c r="Q39" s="14"/>
      <c r="R39" s="14"/>
      <c r="S39" s="14"/>
      <c r="AN39" s="15"/>
      <c r="AO39" s="69"/>
      <c r="AP39" s="69"/>
      <c r="AQ39" s="69"/>
      <c r="AR39" s="69"/>
      <c r="AT39" s="15"/>
      <c r="AU39" s="69"/>
      <c r="AV39" s="69"/>
      <c r="AW39" s="69"/>
      <c r="AX39" s="69"/>
      <c r="AZ39" s="15"/>
      <c r="BA39" s="8"/>
      <c r="BB39" s="8"/>
      <c r="BC39" s="8"/>
      <c r="BD39" s="8"/>
    </row>
    <row r="40" spans="1:56" ht="15.75" customHeight="1">
      <c r="A40" s="14"/>
      <c r="B40" s="14"/>
      <c r="C40" s="14"/>
      <c r="D40" s="14"/>
      <c r="E40" s="14"/>
      <c r="F40" s="14"/>
      <c r="G40" s="14"/>
      <c r="H40" s="14"/>
      <c r="I40" s="14"/>
      <c r="J40" s="14"/>
      <c r="K40" s="14"/>
      <c r="L40" s="14"/>
      <c r="M40" s="14"/>
      <c r="N40" s="14"/>
      <c r="O40" s="14"/>
      <c r="P40" s="14"/>
      <c r="Q40" s="14"/>
      <c r="R40" s="14"/>
      <c r="S40" s="14"/>
      <c r="AN40" s="17"/>
      <c r="AO40" s="69"/>
      <c r="AP40" s="69"/>
      <c r="AQ40" s="69"/>
      <c r="AR40" s="69"/>
      <c r="AT40" s="17"/>
      <c r="AU40" s="69"/>
      <c r="AV40" s="69"/>
      <c r="AW40" s="69"/>
      <c r="AX40" s="69"/>
      <c r="AZ40" s="17"/>
      <c r="BA40" s="8"/>
      <c r="BB40" s="8"/>
      <c r="BC40" s="8"/>
      <c r="BD40" s="8"/>
    </row>
    <row r="41" spans="1:56" ht="15.75" customHeight="1">
      <c r="A41" s="14"/>
      <c r="B41" s="14"/>
      <c r="C41" s="14"/>
      <c r="D41" s="14"/>
      <c r="E41" s="14"/>
      <c r="F41" s="14"/>
      <c r="G41" s="14"/>
      <c r="H41" s="14"/>
      <c r="I41" s="14"/>
      <c r="J41" s="14"/>
      <c r="K41" s="14"/>
      <c r="L41" s="14"/>
      <c r="M41" s="14"/>
      <c r="N41" s="14"/>
      <c r="O41" s="14"/>
      <c r="P41" s="14"/>
      <c r="Q41" s="14"/>
      <c r="R41" s="14"/>
      <c r="S41" s="14"/>
      <c r="AN41" s="15"/>
      <c r="AO41" s="69"/>
      <c r="AP41" s="69"/>
      <c r="AQ41" s="69"/>
      <c r="AR41" s="69"/>
      <c r="AT41" s="15"/>
      <c r="AU41" s="69"/>
      <c r="AV41" s="69"/>
      <c r="AW41" s="69"/>
      <c r="AX41" s="69"/>
      <c r="AZ41" s="15"/>
      <c r="BA41" s="8"/>
      <c r="BB41" s="8"/>
      <c r="BC41" s="8"/>
      <c r="BD41" s="8"/>
    </row>
    <row r="42" spans="1:56" ht="15.75" customHeight="1">
      <c r="A42" s="14"/>
      <c r="B42" s="14"/>
      <c r="C42" s="14"/>
      <c r="D42" s="14"/>
      <c r="E42" s="14"/>
      <c r="F42" s="14"/>
      <c r="G42" s="14"/>
      <c r="H42" s="14"/>
      <c r="I42" s="14"/>
      <c r="J42" s="14"/>
      <c r="K42" s="14"/>
      <c r="L42" s="14"/>
      <c r="M42" s="14"/>
      <c r="N42" s="14"/>
      <c r="O42" s="14"/>
      <c r="P42" s="14"/>
      <c r="Q42" s="14"/>
      <c r="R42" s="14"/>
      <c r="S42" s="14"/>
      <c r="AN42" s="15"/>
      <c r="AO42" s="69"/>
      <c r="AP42" s="69"/>
      <c r="AQ42" s="69"/>
      <c r="AR42" s="69"/>
      <c r="AT42" s="15"/>
      <c r="AU42" s="69"/>
      <c r="AV42" s="69"/>
      <c r="AW42" s="69"/>
      <c r="AX42" s="69"/>
      <c r="AZ42" s="15"/>
      <c r="BA42" s="8"/>
      <c r="BB42" s="8"/>
      <c r="BC42" s="8"/>
      <c r="BD42" s="8"/>
    </row>
    <row r="43" spans="1:56" ht="15.75" customHeight="1">
      <c r="AN43" s="15"/>
      <c r="AO43" s="69"/>
      <c r="AP43" s="69"/>
      <c r="AQ43" s="69"/>
      <c r="AR43" s="69"/>
      <c r="AT43" s="15"/>
      <c r="AU43" s="69"/>
      <c r="AV43" s="69"/>
      <c r="AW43" s="69"/>
      <c r="AX43" s="69"/>
      <c r="AZ43" s="15"/>
      <c r="BA43" s="8"/>
      <c r="BB43" s="8"/>
      <c r="BC43" s="8"/>
      <c r="BD43" s="8"/>
    </row>
    <row r="44" spans="1:56" ht="15" customHeight="1">
      <c r="AN44" s="15"/>
      <c r="AO44" s="69"/>
      <c r="AP44" s="69"/>
      <c r="AQ44" s="69"/>
      <c r="AR44" s="69"/>
      <c r="AT44" s="15"/>
      <c r="AU44" s="69"/>
      <c r="AV44" s="69"/>
      <c r="AW44" s="69"/>
      <c r="AX44" s="69"/>
      <c r="AZ44" s="15"/>
      <c r="BA44" s="8"/>
      <c r="BB44" s="8"/>
      <c r="BC44" s="8"/>
      <c r="BD44" s="8"/>
    </row>
    <row r="45" spans="1:56" ht="15.75" customHeight="1">
      <c r="AN45" s="15"/>
      <c r="AO45" s="69"/>
      <c r="AP45" s="69"/>
      <c r="AQ45" s="69"/>
      <c r="AR45" s="69"/>
      <c r="AT45" s="15"/>
      <c r="AU45" s="69"/>
      <c r="AV45" s="69"/>
      <c r="AW45" s="69"/>
      <c r="AX45" s="69"/>
      <c r="AZ45" s="15"/>
      <c r="BA45" s="8"/>
      <c r="BB45" s="8"/>
      <c r="BC45" s="8"/>
      <c r="BD45" s="8"/>
    </row>
    <row r="46" spans="1:56" ht="15.75" customHeight="1">
      <c r="AN46" s="15"/>
      <c r="AO46" s="69"/>
      <c r="AP46" s="69"/>
      <c r="AQ46" s="69"/>
      <c r="AR46" s="69"/>
      <c r="AT46" s="15"/>
      <c r="AU46" s="69"/>
      <c r="AV46" s="69"/>
      <c r="AW46" s="69"/>
      <c r="AX46" s="69"/>
      <c r="AZ46" s="15"/>
      <c r="BA46" s="8"/>
      <c r="BB46" s="8"/>
      <c r="BC46" s="8"/>
      <c r="BD46" s="8"/>
    </row>
    <row r="47" spans="1:56" ht="15.75" customHeight="1">
      <c r="AN47" s="15"/>
      <c r="AO47" s="69"/>
      <c r="AP47" s="69"/>
      <c r="AQ47" s="69"/>
      <c r="AR47" s="69"/>
      <c r="AT47" s="15"/>
      <c r="AU47" s="69"/>
      <c r="AV47" s="69"/>
      <c r="AW47" s="69"/>
      <c r="AX47" s="69"/>
      <c r="AZ47" s="15"/>
      <c r="BA47" s="8"/>
      <c r="BB47" s="8"/>
      <c r="BC47" s="8"/>
      <c r="BD47" s="8"/>
    </row>
    <row r="48" spans="1:56" ht="15.75" customHeight="1">
      <c r="AZ48" s="15"/>
      <c r="BA48" s="8"/>
      <c r="BB48" s="8"/>
      <c r="BC48" s="8"/>
      <c r="BD48" s="8"/>
    </row>
    <row r="49" spans="52:56" ht="15.75" customHeight="1">
      <c r="AZ49" s="15"/>
      <c r="BA49" s="8"/>
      <c r="BB49" s="8"/>
      <c r="BC49" s="8"/>
      <c r="BD49" s="8"/>
    </row>
    <row r="50" spans="52:56" ht="15.75" customHeight="1">
      <c r="AZ50" s="15"/>
      <c r="BA50" s="8"/>
      <c r="BB50" s="8"/>
      <c r="BC50" s="8"/>
      <c r="BD50" s="8"/>
    </row>
    <row r="51" spans="52:56" ht="15.75" customHeight="1">
      <c r="AZ51" s="15"/>
      <c r="BA51" s="8"/>
      <c r="BB51" s="8"/>
      <c r="BC51" s="8"/>
      <c r="BD51" s="8"/>
    </row>
    <row r="52" spans="52:56" ht="15.75" customHeight="1">
      <c r="AZ52" s="15"/>
      <c r="BA52" s="8"/>
      <c r="BB52" s="8"/>
      <c r="BC52" s="8"/>
      <c r="BD52" s="8"/>
    </row>
    <row r="53" spans="52:56" ht="15.75" customHeight="1"/>
    <row r="54" spans="52:56" ht="15.75" customHeight="1"/>
    <row r="55" spans="52:56" ht="15.75" customHeight="1"/>
    <row r="56" spans="52:56" ht="15.75" customHeight="1"/>
    <row r="57" spans="52:56" ht="15.75" customHeight="1"/>
    <row r="58" spans="52:56" ht="15.75" customHeight="1"/>
    <row r="59" spans="52:56" ht="15.75" customHeight="1"/>
    <row r="60" spans="52:56" ht="15.75" customHeight="1"/>
    <row r="61" spans="52:56" ht="15.75" customHeight="1"/>
    <row r="62" spans="52:56" ht="15.75" customHeight="1"/>
    <row r="63" spans="52:56" ht="15.75" customHeight="1"/>
    <row r="64" spans="52:5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5">
    <mergeCell ref="A29:H37"/>
    <mergeCell ref="I29:W37"/>
    <mergeCell ref="B22:F22"/>
    <mergeCell ref="G22:I22"/>
    <mergeCell ref="J22:K23"/>
    <mergeCell ref="B23:F23"/>
    <mergeCell ref="G23:I23"/>
    <mergeCell ref="A25:D25"/>
    <mergeCell ref="E25:K25"/>
    <mergeCell ref="A18:A23"/>
    <mergeCell ref="B18:F18"/>
    <mergeCell ref="G18:I18"/>
    <mergeCell ref="J18:K21"/>
    <mergeCell ref="B19:F19"/>
    <mergeCell ref="B20:F20"/>
    <mergeCell ref="G20:I20"/>
    <mergeCell ref="B21:F21"/>
    <mergeCell ref="G21:I21"/>
    <mergeCell ref="A26:D26"/>
    <mergeCell ref="E26:K26"/>
    <mergeCell ref="G15:H15"/>
    <mergeCell ref="J15:K16"/>
    <mergeCell ref="B16:F16"/>
    <mergeCell ref="G16:I16"/>
    <mergeCell ref="G19:I19"/>
    <mergeCell ref="A8:A16"/>
    <mergeCell ref="B12:F12"/>
    <mergeCell ref="G12:H12"/>
    <mergeCell ref="B14:F14"/>
    <mergeCell ref="G14:I14"/>
    <mergeCell ref="B15:F15"/>
    <mergeCell ref="AC6:AE6"/>
    <mergeCell ref="AG6:AI6"/>
    <mergeCell ref="AK6:AM6"/>
    <mergeCell ref="G10:H10"/>
    <mergeCell ref="B11:F11"/>
    <mergeCell ref="G11:H11"/>
    <mergeCell ref="U6:W6"/>
    <mergeCell ref="Y6:AA6"/>
    <mergeCell ref="B8:F8"/>
    <mergeCell ref="G8:I8"/>
    <mergeCell ref="J8:K14"/>
    <mergeCell ref="B9:F9"/>
    <mergeCell ref="G9:H9"/>
    <mergeCell ref="B10:F10"/>
    <mergeCell ref="B13:F13"/>
    <mergeCell ref="G13:H13"/>
    <mergeCell ref="A6:C6"/>
    <mergeCell ref="E6:G6"/>
    <mergeCell ref="I6:K6"/>
    <mergeCell ref="M6:O6"/>
    <mergeCell ref="Q6:S6"/>
    <mergeCell ref="A1:AM1"/>
    <mergeCell ref="A2:AM2"/>
    <mergeCell ref="A3:AM3"/>
    <mergeCell ref="A4:C5"/>
    <mergeCell ref="E4:G5"/>
    <mergeCell ref="I4:K5"/>
    <mergeCell ref="M4:O5"/>
    <mergeCell ref="Q4:S5"/>
    <mergeCell ref="U4:W5"/>
    <mergeCell ref="Y4:AA5"/>
    <mergeCell ref="AC4:AE5"/>
    <mergeCell ref="AG4:AI5"/>
    <mergeCell ref="AK4:AM5"/>
  </mergeCells>
  <pageMargins left="0.23622047244094491" right="0.23622047244094491" top="0.74803149606299213" bottom="0.15748031496062992" header="0" footer="0"/>
  <pageSetup orientation="landscape" r:id="rId1"/>
  <headerFooter>
    <oddHeader>&amp;LGerencia de Construcción de Vías y Puentes. 
Unidad Ejecutora&amp;CFecha informe: 15 de junio de 2023. 
Periodo que reporta: Mayo 2023.&amp;RAprobado por:    
Ing. Pablo Camacho Salazar</oddHead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2FF21FA0-DC63-411F-9E53-CA5BB165677C}">
          <x14:formula1>
            <xm:f>Sumario!$A$2:$A$41</xm:f>
          </x14:formula1>
          <xm:sqref>A1:AM1</xm:sqref>
        </x14:dataValidation>
        <x14:dataValidation type="list" allowBlank="1" showErrorMessage="1" xr:uid="{005E7D6F-E849-497F-A443-413F2500DCCA}">
          <x14:formula1>
            <xm:f>Sumario!$G$2:$G$41</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27FB9-3E22-4C92-94C3-FB94470CEE2F}">
  <dimension ref="A1:BJ1002"/>
  <sheetViews>
    <sheetView view="pageLayout" zoomScaleNormal="120" workbookViewId="0">
      <selection activeCell="AP24" sqref="AP24"/>
    </sheetView>
  </sheetViews>
  <sheetFormatPr baseColWidth="10" defaultColWidth="14.42578125" defaultRowHeight="15" customHeight="1"/>
  <cols>
    <col min="1" max="39" width="3.42578125" style="73" customWidth="1"/>
    <col min="40" max="44" width="10.7109375" style="73" customWidth="1"/>
    <col min="45" max="45" width="7.85546875" style="73" customWidth="1"/>
    <col min="46" max="61" width="10.7109375" style="73" customWidth="1"/>
    <col min="62" max="62" width="15.5703125" style="73" customWidth="1"/>
    <col min="63" max="16384" width="14.42578125" style="73"/>
  </cols>
  <sheetData>
    <row r="1" spans="1:62" ht="15" customHeight="1">
      <c r="A1" s="171">
        <v>42</v>
      </c>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row>
    <row r="2" spans="1:62" ht="15" customHeight="1">
      <c r="A2" s="77" t="str">
        <f>+VLOOKUP(($A$1),Sumario!$A$2:$AW$42,6,(FALSE))</f>
        <v>2021LN-000002-0006000001</v>
      </c>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9"/>
    </row>
    <row r="3" spans="1:62" ht="15" customHeight="1">
      <c r="A3" s="178" t="str">
        <f>+VLOOKUP(($A$1),Sumario!$A$2:$AW$42,7,(FALSE))</f>
        <v xml:space="preserve">Construcción del mejoramiento pluvial sobre las Rutas Nacional Nos. 119 y 123. </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89"/>
      <c r="AN3" s="2" t="s">
        <v>177</v>
      </c>
      <c r="AO3" s="1"/>
      <c r="AP3" s="1"/>
      <c r="AQ3" s="1"/>
      <c r="AR3" s="1"/>
      <c r="AS3" s="1"/>
      <c r="AZ3" s="3" t="s">
        <v>178</v>
      </c>
      <c r="BF3" s="3" t="s">
        <v>179</v>
      </c>
    </row>
    <row r="4" spans="1:62">
      <c r="A4" s="172">
        <f>+VLOOKUP(($A$1),Sumario!$A$2:$AW$42,18,(FALSE))</f>
        <v>1</v>
      </c>
      <c r="B4" s="173"/>
      <c r="C4" s="174"/>
      <c r="D4" s="1"/>
      <c r="E4" s="172">
        <f>+VLOOKUP(($A$1),Sumario!$A$2:$AW$42,20,(FALSE))</f>
        <v>0</v>
      </c>
      <c r="F4" s="173"/>
      <c r="G4" s="174"/>
      <c r="H4" s="1"/>
      <c r="I4" s="172">
        <f>+VLOOKUP(($A$1),Sumario!$A$2:$AW$42,19,(FALSE))</f>
        <v>3.6377591556657207E-2</v>
      </c>
      <c r="J4" s="173"/>
      <c r="K4" s="174"/>
      <c r="L4" s="1"/>
      <c r="M4" s="104">
        <f>+VLOOKUP(($A$1),Sumario!$A$2:$AW$42,14,(FALSE))</f>
        <v>1542.37138329</v>
      </c>
      <c r="N4" s="105"/>
      <c r="O4" s="106"/>
      <c r="P4" s="1"/>
      <c r="Q4" s="104">
        <f>+VLOOKUP(($A$1),Sumario!$A$2:$AW$42,21,(FALSE))</f>
        <v>-1486.2636270800001</v>
      </c>
      <c r="R4" s="105"/>
      <c r="S4" s="106"/>
      <c r="T4" s="1"/>
      <c r="U4" s="104">
        <f>+VLOOKUP(($A$1),Sumario!$A$2:$AW$42,22,(FALSE))</f>
        <v>56.107756209999998</v>
      </c>
      <c r="V4" s="105"/>
      <c r="W4" s="106"/>
      <c r="X4" s="1"/>
      <c r="Y4" s="98">
        <f>+VLOOKUP(($A$1),Sumario!$A$2:$AW$42,28,(FALSE))</f>
        <v>4952.1010780951356</v>
      </c>
      <c r="Z4" s="99"/>
      <c r="AA4" s="100"/>
      <c r="AB4" s="1"/>
      <c r="AC4" s="98">
        <f>+VLOOKUP(($A$1),Sumario!$A$2:$AW$42,25,(FALSE))</f>
        <v>3.6377591556657207E-2</v>
      </c>
      <c r="AD4" s="99"/>
      <c r="AE4" s="100"/>
      <c r="AF4" s="1"/>
      <c r="AG4" s="98">
        <f>+VLOOKUP(($A$1),Sumario!$A$2:$AW$42,26,(FALSE))</f>
        <v>0</v>
      </c>
      <c r="AH4" s="99"/>
      <c r="AI4" s="100"/>
      <c r="AJ4" s="1"/>
      <c r="AK4" s="98">
        <f>+VLOOKUP(($A$1),Sumario!$A$2:$AW$42,27,(FALSE))</f>
        <v>0.96362240844334279</v>
      </c>
      <c r="AL4" s="99"/>
      <c r="AM4" s="100"/>
      <c r="AN4" s="1" t="s">
        <v>180</v>
      </c>
      <c r="AO4" s="1"/>
      <c r="AP4" s="1"/>
      <c r="AQ4" s="1"/>
      <c r="AR4" s="1"/>
      <c r="AS4" s="1"/>
      <c r="AT4" s="1" t="s">
        <v>181</v>
      </c>
      <c r="AU4" s="1"/>
      <c r="AV4" s="1"/>
      <c r="AW4" s="1"/>
      <c r="AX4" s="1"/>
      <c r="AY4" s="1"/>
    </row>
    <row r="5" spans="1:62">
      <c r="A5" s="175"/>
      <c r="B5" s="176"/>
      <c r="C5" s="177"/>
      <c r="D5" s="4"/>
      <c r="E5" s="175"/>
      <c r="F5" s="176"/>
      <c r="G5" s="177"/>
      <c r="H5" s="1"/>
      <c r="I5" s="175"/>
      <c r="J5" s="176"/>
      <c r="K5" s="177"/>
      <c r="L5" s="1"/>
      <c r="M5" s="107"/>
      <c r="N5" s="108"/>
      <c r="O5" s="109"/>
      <c r="P5" s="1"/>
      <c r="Q5" s="107"/>
      <c r="R5" s="108"/>
      <c r="S5" s="109"/>
      <c r="T5" s="1"/>
      <c r="U5" s="107"/>
      <c r="V5" s="108"/>
      <c r="W5" s="109"/>
      <c r="X5" s="1"/>
      <c r="Y5" s="101"/>
      <c r="Z5" s="102"/>
      <c r="AA5" s="103"/>
      <c r="AB5" s="1"/>
      <c r="AC5" s="101"/>
      <c r="AD5" s="102"/>
      <c r="AE5" s="103"/>
      <c r="AF5" s="1"/>
      <c r="AG5" s="101"/>
      <c r="AH5" s="102"/>
      <c r="AI5" s="103"/>
      <c r="AJ5" s="1"/>
      <c r="AK5" s="101"/>
      <c r="AL5" s="102"/>
      <c r="AM5" s="103"/>
      <c r="AN5" s="5" t="s">
        <v>189</v>
      </c>
      <c r="AO5" s="6" t="s">
        <v>182</v>
      </c>
      <c r="AP5" s="6" t="s">
        <v>183</v>
      </c>
      <c r="AQ5" s="6" t="s">
        <v>184</v>
      </c>
      <c r="AR5" s="6" t="s">
        <v>185</v>
      </c>
      <c r="AS5" s="7"/>
      <c r="AT5" s="5" t="s">
        <v>189</v>
      </c>
      <c r="AU5" s="6" t="s">
        <v>186</v>
      </c>
      <c r="AV5" s="6" t="s">
        <v>183</v>
      </c>
      <c r="AW5" s="6" t="s">
        <v>187</v>
      </c>
      <c r="AX5" s="6" t="s">
        <v>188</v>
      </c>
      <c r="AZ5" s="6" t="s">
        <v>189</v>
      </c>
      <c r="BA5" s="6" t="s">
        <v>190</v>
      </c>
      <c r="BB5" s="6" t="s">
        <v>191</v>
      </c>
      <c r="BC5" s="6" t="s">
        <v>192</v>
      </c>
      <c r="BD5" s="6" t="s">
        <v>193</v>
      </c>
      <c r="BF5" s="5" t="s">
        <v>189</v>
      </c>
      <c r="BG5" s="6" t="s">
        <v>194</v>
      </c>
      <c r="BH5" s="6" t="s">
        <v>183</v>
      </c>
      <c r="BI5" s="6" t="s">
        <v>195</v>
      </c>
      <c r="BJ5" s="6" t="s">
        <v>196</v>
      </c>
    </row>
    <row r="6" spans="1:62">
      <c r="A6" s="164" t="s">
        <v>197</v>
      </c>
      <c r="B6" s="91"/>
      <c r="C6" s="118"/>
      <c r="D6" s="1"/>
      <c r="E6" s="164" t="s">
        <v>198</v>
      </c>
      <c r="F6" s="91"/>
      <c r="G6" s="118"/>
      <c r="H6" s="1"/>
      <c r="I6" s="164" t="s">
        <v>199</v>
      </c>
      <c r="J6" s="91"/>
      <c r="K6" s="118"/>
      <c r="L6" s="1"/>
      <c r="M6" s="164" t="s">
        <v>200</v>
      </c>
      <c r="N6" s="91"/>
      <c r="O6" s="118"/>
      <c r="P6" s="1"/>
      <c r="Q6" s="164" t="s">
        <v>201</v>
      </c>
      <c r="R6" s="91"/>
      <c r="S6" s="118"/>
      <c r="T6" s="1"/>
      <c r="U6" s="164" t="s">
        <v>202</v>
      </c>
      <c r="V6" s="91"/>
      <c r="W6" s="118"/>
      <c r="X6" s="1"/>
      <c r="Y6" s="164" t="s">
        <v>193</v>
      </c>
      <c r="Z6" s="91"/>
      <c r="AA6" s="118"/>
      <c r="AB6" s="1"/>
      <c r="AC6" s="164" t="s">
        <v>190</v>
      </c>
      <c r="AD6" s="91"/>
      <c r="AE6" s="118"/>
      <c r="AF6" s="1"/>
      <c r="AG6" s="164" t="s">
        <v>191</v>
      </c>
      <c r="AH6" s="91"/>
      <c r="AI6" s="118"/>
      <c r="AJ6" s="1"/>
      <c r="AK6" s="164" t="s">
        <v>192</v>
      </c>
      <c r="AL6" s="91"/>
      <c r="AM6" s="118"/>
      <c r="AN6" s="43">
        <v>45047</v>
      </c>
      <c r="AO6" s="69">
        <f>AU6</f>
        <v>63.4</v>
      </c>
      <c r="AP6" s="69">
        <f t="shared" ref="AP6:AR6" si="0">+AV6</f>
        <v>0</v>
      </c>
      <c r="AQ6" s="69">
        <f t="shared" si="0"/>
        <v>56.1</v>
      </c>
      <c r="AR6" s="69">
        <f t="shared" si="0"/>
        <v>51.62</v>
      </c>
      <c r="AT6" s="43">
        <v>45047</v>
      </c>
      <c r="AU6" s="69">
        <v>63.4</v>
      </c>
      <c r="AV6" s="69">
        <v>0</v>
      </c>
      <c r="AW6" s="69">
        <v>56.1</v>
      </c>
      <c r="AX6" s="69">
        <v>51.62</v>
      </c>
      <c r="AZ6" s="43">
        <f>+AN6</f>
        <v>45047</v>
      </c>
      <c r="BA6" s="8">
        <v>0.04</v>
      </c>
      <c r="BB6" s="8">
        <v>0</v>
      </c>
      <c r="BC6" s="8">
        <v>0.96</v>
      </c>
      <c r="BD6" s="8">
        <v>4952.1000000000004</v>
      </c>
      <c r="BF6" s="47">
        <f>+AN6</f>
        <v>45047</v>
      </c>
      <c r="BG6" s="16">
        <f>+AO6</f>
        <v>63.4</v>
      </c>
      <c r="BH6" s="16">
        <f t="shared" ref="BH6:BJ8" si="1">+AP6</f>
        <v>0</v>
      </c>
      <c r="BI6" s="16">
        <f t="shared" si="1"/>
        <v>56.1</v>
      </c>
      <c r="BJ6" s="16">
        <f t="shared" si="1"/>
        <v>51.62</v>
      </c>
    </row>
    <row r="7" spans="1:62" ht="15.75" thickBo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43">
        <v>45078</v>
      </c>
      <c r="AO7" s="69">
        <f>+AO6+AU7</f>
        <v>273.02</v>
      </c>
      <c r="AP7" s="69">
        <f t="shared" ref="AP7:AR19" si="2">+AP6+AV7</f>
        <v>0</v>
      </c>
      <c r="AQ7" s="69">
        <f t="shared" si="2"/>
        <v>241.6</v>
      </c>
      <c r="AR7" s="69">
        <f t="shared" si="2"/>
        <v>51.62</v>
      </c>
      <c r="AT7" s="43">
        <v>45078</v>
      </c>
      <c r="AU7" s="69">
        <v>209.62</v>
      </c>
      <c r="AV7" s="69">
        <v>0</v>
      </c>
      <c r="AW7" s="69">
        <v>185.5</v>
      </c>
      <c r="AX7" s="69">
        <v>0</v>
      </c>
      <c r="AZ7" s="43">
        <f t="shared" ref="AZ7:AZ19" si="3">+AN7</f>
        <v>45078</v>
      </c>
      <c r="BA7" s="8">
        <v>0</v>
      </c>
      <c r="BB7" s="8">
        <v>0</v>
      </c>
      <c r="BC7" s="8">
        <v>0</v>
      </c>
      <c r="BD7" s="8">
        <v>0</v>
      </c>
      <c r="BF7" s="47">
        <f t="shared" ref="BF7:BF8" si="4">+AN7</f>
        <v>45078</v>
      </c>
      <c r="BG7" s="16">
        <f t="shared" ref="BG7:BG8" si="5">+AO7</f>
        <v>273.02</v>
      </c>
      <c r="BH7" s="16">
        <f t="shared" si="1"/>
        <v>0</v>
      </c>
      <c r="BI7" s="16">
        <f t="shared" si="1"/>
        <v>241.6</v>
      </c>
      <c r="BJ7" s="16">
        <f t="shared" si="1"/>
        <v>51.62</v>
      </c>
    </row>
    <row r="8" spans="1:62">
      <c r="A8" s="80" t="s">
        <v>203</v>
      </c>
      <c r="B8" s="83" t="s">
        <v>204</v>
      </c>
      <c r="C8" s="84"/>
      <c r="D8" s="84"/>
      <c r="E8" s="84"/>
      <c r="F8" s="85"/>
      <c r="G8" s="86">
        <f>+VLOOKUP(($A$1),Sumario!$A$2:$AW$42,30,(FALSE))</f>
        <v>45051</v>
      </c>
      <c r="H8" s="84"/>
      <c r="I8" s="87"/>
      <c r="J8" s="168">
        <f>G15/G13</f>
        <v>0.13043478260869565</v>
      </c>
      <c r="K8" s="121"/>
      <c r="L8" s="1"/>
      <c r="M8" s="1"/>
      <c r="N8" s="1"/>
      <c r="O8" s="1"/>
      <c r="P8" s="1"/>
      <c r="Q8" s="1"/>
      <c r="R8" s="1"/>
      <c r="S8" s="1"/>
      <c r="T8" s="1"/>
      <c r="U8" s="1"/>
      <c r="V8" s="1"/>
      <c r="W8" s="1"/>
      <c r="X8" s="1"/>
      <c r="Y8" s="1"/>
      <c r="Z8" s="1"/>
      <c r="AA8" s="1"/>
      <c r="AB8" s="1"/>
      <c r="AC8" s="1"/>
      <c r="AD8" s="1"/>
      <c r="AE8" s="1"/>
      <c r="AF8" s="1"/>
      <c r="AG8" s="1"/>
      <c r="AH8" s="1"/>
      <c r="AI8" s="1"/>
      <c r="AJ8" s="1"/>
      <c r="AK8" s="1"/>
      <c r="AL8" s="1"/>
      <c r="AM8" s="1"/>
      <c r="AN8" s="71">
        <v>45108</v>
      </c>
      <c r="AO8" s="69">
        <f t="shared" ref="AO8:AO19" si="6">+AO7+AU8</f>
        <v>542.5</v>
      </c>
      <c r="AP8" s="69">
        <f t="shared" ref="AP8:AP19" si="7">+AP7+AV8</f>
        <v>0</v>
      </c>
      <c r="AQ8" s="69">
        <f t="shared" ref="AQ8:AQ19" si="8">+AQ7+AW8</f>
        <v>480.07</v>
      </c>
      <c r="AR8" s="69">
        <f t="shared" ref="AR8:AR19" si="9">+AR7+AX8</f>
        <v>51.62</v>
      </c>
      <c r="AT8" s="71">
        <v>45108</v>
      </c>
      <c r="AU8" s="69">
        <v>269.48</v>
      </c>
      <c r="AV8" s="69">
        <v>0</v>
      </c>
      <c r="AW8" s="69">
        <v>238.47</v>
      </c>
      <c r="AX8" s="69">
        <v>0</v>
      </c>
      <c r="AZ8" s="43">
        <f t="shared" si="3"/>
        <v>45108</v>
      </c>
      <c r="BA8" s="8">
        <v>0</v>
      </c>
      <c r="BB8" s="8">
        <v>0</v>
      </c>
      <c r="BC8" s="8">
        <v>0</v>
      </c>
      <c r="BD8" s="8">
        <v>0</v>
      </c>
      <c r="BF8" s="47">
        <f t="shared" si="4"/>
        <v>45108</v>
      </c>
      <c r="BG8" s="16">
        <f t="shared" si="5"/>
        <v>542.5</v>
      </c>
      <c r="BH8" s="16">
        <f t="shared" si="1"/>
        <v>0</v>
      </c>
      <c r="BI8" s="16">
        <f t="shared" si="1"/>
        <v>480.07</v>
      </c>
      <c r="BJ8" s="16">
        <f t="shared" si="1"/>
        <v>51.62</v>
      </c>
    </row>
    <row r="9" spans="1:62">
      <c r="A9" s="81"/>
      <c r="B9" s="90" t="s">
        <v>205</v>
      </c>
      <c r="C9" s="91"/>
      <c r="D9" s="91"/>
      <c r="E9" s="91"/>
      <c r="F9" s="92"/>
      <c r="G9" s="93">
        <f>+VLOOKUP(($A$1),Sumario!$A$2:$AW$42,31,(FALSE))</f>
        <v>180</v>
      </c>
      <c r="H9" s="92"/>
      <c r="I9" s="9" t="s">
        <v>206</v>
      </c>
      <c r="J9" s="169"/>
      <c r="K9" s="123"/>
      <c r="L9" s="1"/>
      <c r="M9" s="1"/>
      <c r="N9" s="1"/>
      <c r="O9" s="1"/>
      <c r="P9" s="1"/>
      <c r="Q9" s="1"/>
      <c r="R9" s="1"/>
      <c r="S9" s="1"/>
      <c r="T9" s="1"/>
      <c r="U9" s="1"/>
      <c r="V9" s="1"/>
      <c r="W9" s="1"/>
      <c r="X9" s="1"/>
      <c r="Y9" s="1"/>
      <c r="Z9" s="1"/>
      <c r="AA9" s="1"/>
      <c r="AB9" s="1"/>
      <c r="AC9" s="1"/>
      <c r="AD9" s="1"/>
      <c r="AE9" s="1"/>
      <c r="AF9" s="1"/>
      <c r="AG9" s="1"/>
      <c r="AH9" s="1"/>
      <c r="AI9" s="1"/>
      <c r="AJ9" s="1"/>
      <c r="AK9" s="1"/>
      <c r="AL9" s="1"/>
      <c r="AM9" s="1"/>
      <c r="AN9" s="43">
        <v>45139</v>
      </c>
      <c r="AO9" s="69">
        <f t="shared" si="6"/>
        <v>772.35</v>
      </c>
      <c r="AP9" s="69">
        <f t="shared" si="7"/>
        <v>0</v>
      </c>
      <c r="AQ9" s="69">
        <f t="shared" si="8"/>
        <v>683.48</v>
      </c>
      <c r="AR9" s="69">
        <f t="shared" si="9"/>
        <v>51.62</v>
      </c>
      <c r="AT9" s="43">
        <v>45139</v>
      </c>
      <c r="AU9" s="69">
        <v>229.85</v>
      </c>
      <c r="AV9" s="69">
        <v>0</v>
      </c>
      <c r="AW9" s="69">
        <v>203.41</v>
      </c>
      <c r="AX9" s="69">
        <v>0</v>
      </c>
      <c r="AZ9" s="43">
        <f t="shared" si="3"/>
        <v>45139</v>
      </c>
      <c r="BA9" s="8">
        <v>0</v>
      </c>
      <c r="BB9" s="8">
        <v>0</v>
      </c>
      <c r="BC9" s="8">
        <v>0</v>
      </c>
      <c r="BD9" s="8">
        <v>0</v>
      </c>
    </row>
    <row r="10" spans="1:62">
      <c r="A10" s="81"/>
      <c r="B10" s="90" t="s">
        <v>207</v>
      </c>
      <c r="C10" s="91"/>
      <c r="D10" s="91"/>
      <c r="E10" s="91"/>
      <c r="F10" s="92"/>
      <c r="G10" s="93">
        <f>+VLOOKUP(($A$1),Sumario!$A$2:$AW$42,42,(FALSE))</f>
        <v>4</v>
      </c>
      <c r="H10" s="92"/>
      <c r="I10" s="9" t="s">
        <v>206</v>
      </c>
      <c r="J10" s="169"/>
      <c r="K10" s="12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43">
        <v>45170</v>
      </c>
      <c r="AO10" s="69">
        <f t="shared" si="6"/>
        <v>908.31000000000006</v>
      </c>
      <c r="AP10" s="69">
        <f t="shared" si="7"/>
        <v>0</v>
      </c>
      <c r="AQ10" s="69">
        <f t="shared" si="8"/>
        <v>803.8</v>
      </c>
      <c r="AR10" s="69">
        <f t="shared" si="9"/>
        <v>51.62</v>
      </c>
      <c r="AT10" s="43">
        <v>45170</v>
      </c>
      <c r="AU10" s="69">
        <v>135.96</v>
      </c>
      <c r="AV10" s="69">
        <v>0</v>
      </c>
      <c r="AW10" s="69">
        <v>120.32</v>
      </c>
      <c r="AX10" s="69">
        <v>0</v>
      </c>
      <c r="AZ10" s="43">
        <f t="shared" si="3"/>
        <v>45170</v>
      </c>
      <c r="BA10" s="8">
        <v>0</v>
      </c>
      <c r="BB10" s="8">
        <v>0</v>
      </c>
      <c r="BC10" s="8">
        <v>0</v>
      </c>
      <c r="BD10" s="8">
        <v>0</v>
      </c>
    </row>
    <row r="11" spans="1:62">
      <c r="A11" s="81"/>
      <c r="B11" s="90" t="s">
        <v>208</v>
      </c>
      <c r="C11" s="91"/>
      <c r="D11" s="91"/>
      <c r="E11" s="91"/>
      <c r="F11" s="92"/>
      <c r="G11" s="88" t="str">
        <f>+VLOOKUP(($A$1),Sumario!$A$2:$AZ$42,51,(FALSE))</f>
        <v>-</v>
      </c>
      <c r="H11" s="89"/>
      <c r="I11" s="10" t="s">
        <v>206</v>
      </c>
      <c r="J11" s="169"/>
      <c r="K11" s="12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71">
        <v>45200</v>
      </c>
      <c r="AO11" s="69">
        <f t="shared" si="6"/>
        <v>1119.69</v>
      </c>
      <c r="AP11" s="69">
        <f t="shared" si="7"/>
        <v>0</v>
      </c>
      <c r="AQ11" s="69">
        <f t="shared" si="8"/>
        <v>990.84999999999991</v>
      </c>
      <c r="AR11" s="69">
        <f t="shared" si="9"/>
        <v>51.62</v>
      </c>
      <c r="AT11" s="71">
        <v>45200</v>
      </c>
      <c r="AU11" s="69">
        <v>211.38</v>
      </c>
      <c r="AV11" s="69">
        <v>0</v>
      </c>
      <c r="AW11" s="69">
        <v>187.05</v>
      </c>
      <c r="AX11" s="69">
        <v>0</v>
      </c>
      <c r="AZ11" s="43">
        <f t="shared" si="3"/>
        <v>45200</v>
      </c>
      <c r="BA11" s="8">
        <v>0</v>
      </c>
      <c r="BB11" s="8">
        <v>0</v>
      </c>
      <c r="BC11" s="8">
        <v>0</v>
      </c>
      <c r="BD11" s="8">
        <v>0</v>
      </c>
    </row>
    <row r="12" spans="1:62">
      <c r="A12" s="81"/>
      <c r="B12" s="90" t="s">
        <v>209</v>
      </c>
      <c r="C12" s="91"/>
      <c r="D12" s="91"/>
      <c r="E12" s="91"/>
      <c r="F12" s="92"/>
      <c r="G12" s="93">
        <f>+VLOOKUP(($A$1),Sumario!$A$2:$AW$42,43,(FALSE))</f>
        <v>0</v>
      </c>
      <c r="H12" s="92"/>
      <c r="I12" s="9" t="s">
        <v>206</v>
      </c>
      <c r="J12" s="169"/>
      <c r="K12" s="123"/>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43">
        <v>45231</v>
      </c>
      <c r="AO12" s="69">
        <f t="shared" si="6"/>
        <v>1166.3900000000001</v>
      </c>
      <c r="AP12" s="69">
        <f t="shared" si="7"/>
        <v>0</v>
      </c>
      <c r="AQ12" s="69">
        <f t="shared" si="8"/>
        <v>1032.1699999999998</v>
      </c>
      <c r="AR12" s="69">
        <f t="shared" si="9"/>
        <v>51.62</v>
      </c>
      <c r="AT12" s="43">
        <v>45231</v>
      </c>
      <c r="AU12" s="69">
        <v>46.7</v>
      </c>
      <c r="AV12" s="69">
        <v>0</v>
      </c>
      <c r="AW12" s="69">
        <v>41.32</v>
      </c>
      <c r="AX12" s="69">
        <v>0</v>
      </c>
      <c r="AZ12" s="43">
        <f t="shared" si="3"/>
        <v>45231</v>
      </c>
      <c r="BA12" s="8">
        <v>0</v>
      </c>
      <c r="BB12" s="8">
        <v>0</v>
      </c>
      <c r="BC12" s="8">
        <v>0</v>
      </c>
      <c r="BD12" s="8">
        <v>0</v>
      </c>
    </row>
    <row r="13" spans="1:62">
      <c r="A13" s="81"/>
      <c r="B13" s="90" t="s">
        <v>210</v>
      </c>
      <c r="C13" s="91"/>
      <c r="D13" s="91"/>
      <c r="E13" s="91"/>
      <c r="F13" s="92"/>
      <c r="G13" s="94">
        <f>+VLOOKUP(($A$1),Sumario!$A$2:$AW$42,44,(FALSE))</f>
        <v>184</v>
      </c>
      <c r="H13" s="95"/>
      <c r="I13" s="37" t="s">
        <v>206</v>
      </c>
      <c r="J13" s="169"/>
      <c r="K13" s="12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43">
        <v>45261</v>
      </c>
      <c r="AO13" s="69">
        <f t="shared" si="6"/>
        <v>1263.0500000000002</v>
      </c>
      <c r="AP13" s="69">
        <f t="shared" si="7"/>
        <v>0</v>
      </c>
      <c r="AQ13" s="69">
        <f t="shared" si="8"/>
        <v>1117.6999999999998</v>
      </c>
      <c r="AR13" s="69">
        <f t="shared" si="9"/>
        <v>51.62</v>
      </c>
      <c r="AT13" s="43">
        <v>45261</v>
      </c>
      <c r="AU13" s="69">
        <v>96.66</v>
      </c>
      <c r="AV13" s="69">
        <v>0</v>
      </c>
      <c r="AW13" s="69">
        <v>85.53</v>
      </c>
      <c r="AX13" s="69">
        <v>0</v>
      </c>
      <c r="AZ13" s="43">
        <f t="shared" si="3"/>
        <v>45261</v>
      </c>
      <c r="BA13" s="8">
        <v>0</v>
      </c>
      <c r="BB13" s="8">
        <v>0</v>
      </c>
      <c r="BC13" s="8">
        <v>0</v>
      </c>
      <c r="BD13" s="8">
        <v>0</v>
      </c>
    </row>
    <row r="14" spans="1:62">
      <c r="A14" s="81"/>
      <c r="B14" s="90" t="s">
        <v>211</v>
      </c>
      <c r="C14" s="91"/>
      <c r="D14" s="91"/>
      <c r="E14" s="91"/>
      <c r="F14" s="92"/>
      <c r="G14" s="96" t="str">
        <f>+VLOOKUP(($A$1),Sumario!$A$2:$AZ$42,50,(FALSE))</f>
        <v>-</v>
      </c>
      <c r="H14" s="97"/>
      <c r="I14" s="97"/>
      <c r="J14" s="163"/>
      <c r="K14" s="17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71">
        <v>45292</v>
      </c>
      <c r="AO14" s="69">
        <f t="shared" si="6"/>
        <v>1357.6000000000001</v>
      </c>
      <c r="AP14" s="69">
        <f t="shared" si="7"/>
        <v>0</v>
      </c>
      <c r="AQ14" s="69">
        <f t="shared" si="8"/>
        <v>1201.3699999999999</v>
      </c>
      <c r="AR14" s="69">
        <f t="shared" si="9"/>
        <v>51.62</v>
      </c>
      <c r="AT14" s="71">
        <v>45292</v>
      </c>
      <c r="AU14" s="69">
        <v>94.55</v>
      </c>
      <c r="AV14" s="69">
        <v>0</v>
      </c>
      <c r="AW14" s="69">
        <v>83.67</v>
      </c>
      <c r="AX14" s="69">
        <v>0</v>
      </c>
      <c r="AZ14" s="43">
        <f t="shared" si="3"/>
        <v>45292</v>
      </c>
      <c r="BA14" s="8">
        <v>0</v>
      </c>
      <c r="BB14" s="8">
        <v>0</v>
      </c>
      <c r="BC14" s="8">
        <v>0</v>
      </c>
      <c r="BD14" s="8">
        <v>0</v>
      </c>
    </row>
    <row r="15" spans="1:62" ht="15" customHeight="1">
      <c r="A15" s="81"/>
      <c r="B15" s="161" t="s">
        <v>212</v>
      </c>
      <c r="C15" s="91"/>
      <c r="D15" s="91"/>
      <c r="E15" s="91"/>
      <c r="F15" s="92"/>
      <c r="G15" s="162">
        <f>+VLOOKUP(($A$1),Sumario!$A$2:$AW$42,45,(FALSE))</f>
        <v>24</v>
      </c>
      <c r="H15" s="163"/>
      <c r="I15" s="38" t="s">
        <v>206</v>
      </c>
      <c r="J15" s="110" t="s">
        <v>213</v>
      </c>
      <c r="K15" s="11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43">
        <v>45323</v>
      </c>
      <c r="AO15" s="69">
        <f t="shared" si="6"/>
        <v>1452.3000000000002</v>
      </c>
      <c r="AP15" s="69">
        <f t="shared" si="7"/>
        <v>0</v>
      </c>
      <c r="AQ15" s="69">
        <f t="shared" si="8"/>
        <v>1285.1699999999998</v>
      </c>
      <c r="AR15" s="69">
        <f t="shared" si="9"/>
        <v>51.62</v>
      </c>
      <c r="AT15" s="43">
        <v>45323</v>
      </c>
      <c r="AU15" s="69">
        <v>94.7</v>
      </c>
      <c r="AV15" s="69">
        <v>0</v>
      </c>
      <c r="AW15" s="69">
        <v>83.8</v>
      </c>
      <c r="AX15" s="69">
        <v>0</v>
      </c>
      <c r="AZ15" s="43">
        <f t="shared" si="3"/>
        <v>45323</v>
      </c>
      <c r="BA15" s="8">
        <v>0</v>
      </c>
      <c r="BB15" s="8">
        <v>0</v>
      </c>
      <c r="BC15" s="8">
        <v>0</v>
      </c>
      <c r="BD15" s="8">
        <v>0</v>
      </c>
    </row>
    <row r="16" spans="1:62" ht="15.75" thickBot="1">
      <c r="A16" s="82"/>
      <c r="B16" s="114" t="s">
        <v>214</v>
      </c>
      <c r="C16" s="115"/>
      <c r="D16" s="115"/>
      <c r="E16" s="115"/>
      <c r="F16" s="116"/>
      <c r="G16" s="165">
        <f>+VLOOKUP(($A$1),Sumario!$A$2:$AW$42,32,(FALSE))</f>
        <v>45237</v>
      </c>
      <c r="H16" s="166"/>
      <c r="I16" s="167"/>
      <c r="J16" s="112"/>
      <c r="K16" s="11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43">
        <v>45352</v>
      </c>
      <c r="AO16" s="69">
        <f t="shared" si="6"/>
        <v>1542.3700000000001</v>
      </c>
      <c r="AP16" s="69">
        <f t="shared" si="7"/>
        <v>0</v>
      </c>
      <c r="AQ16" s="69">
        <f t="shared" si="8"/>
        <v>1364.87</v>
      </c>
      <c r="AR16" s="69">
        <f t="shared" si="9"/>
        <v>51.62</v>
      </c>
      <c r="AT16" s="43">
        <v>45352</v>
      </c>
      <c r="AU16" s="69">
        <v>90.07</v>
      </c>
      <c r="AV16" s="69">
        <v>0</v>
      </c>
      <c r="AW16" s="69">
        <v>79.7</v>
      </c>
      <c r="AX16" s="69">
        <v>0</v>
      </c>
      <c r="AZ16" s="43">
        <f t="shared" si="3"/>
        <v>45352</v>
      </c>
      <c r="BA16" s="8">
        <v>0</v>
      </c>
      <c r="BB16" s="8">
        <v>0</v>
      </c>
      <c r="BC16" s="8">
        <v>0</v>
      </c>
      <c r="BD16" s="8">
        <v>0</v>
      </c>
    </row>
    <row r="17" spans="1:56" ht="15.75" thickBo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71">
        <v>45383</v>
      </c>
      <c r="AO17" s="69">
        <f t="shared" si="6"/>
        <v>1542.3700000000001</v>
      </c>
      <c r="AP17" s="69">
        <f t="shared" si="7"/>
        <v>0</v>
      </c>
      <c r="AQ17" s="69">
        <f t="shared" si="8"/>
        <v>1364.87</v>
      </c>
      <c r="AR17" s="69">
        <f t="shared" si="9"/>
        <v>51.62</v>
      </c>
      <c r="AT17" s="71">
        <v>45383</v>
      </c>
      <c r="AU17" s="69"/>
      <c r="AV17" s="69"/>
      <c r="AW17" s="69"/>
      <c r="AX17" s="69"/>
      <c r="AZ17" s="43">
        <f t="shared" si="3"/>
        <v>45383</v>
      </c>
      <c r="BA17" s="8">
        <v>0</v>
      </c>
      <c r="BB17" s="8">
        <v>0</v>
      </c>
      <c r="BC17" s="8">
        <v>0</v>
      </c>
      <c r="BD17" s="8">
        <v>0</v>
      </c>
    </row>
    <row r="18" spans="1:56">
      <c r="A18" s="134" t="s">
        <v>215</v>
      </c>
      <c r="B18" s="137" t="s">
        <v>216</v>
      </c>
      <c r="C18" s="138"/>
      <c r="D18" s="138"/>
      <c r="E18" s="138"/>
      <c r="F18" s="138"/>
      <c r="G18" s="148">
        <f>+VLOOKUP(($A$1),Sumario!$A$2:$AW$42,12,(FALSE))</f>
        <v>1542371383.29</v>
      </c>
      <c r="H18" s="149"/>
      <c r="I18" s="150"/>
      <c r="J18" s="139">
        <f>G22/G21</f>
        <v>0</v>
      </c>
      <c r="K18" s="14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43">
        <v>45413</v>
      </c>
      <c r="AO18" s="69">
        <f t="shared" si="6"/>
        <v>1542.3700000000001</v>
      </c>
      <c r="AP18" s="69">
        <f t="shared" si="7"/>
        <v>0</v>
      </c>
      <c r="AQ18" s="69">
        <f t="shared" si="8"/>
        <v>1364.87</v>
      </c>
      <c r="AR18" s="69">
        <f t="shared" si="9"/>
        <v>51.62</v>
      </c>
      <c r="AT18" s="43">
        <v>45413</v>
      </c>
      <c r="AU18" s="69"/>
      <c r="AV18" s="69"/>
      <c r="AW18" s="69"/>
      <c r="AX18" s="69"/>
      <c r="AZ18" s="43">
        <f t="shared" si="3"/>
        <v>45413</v>
      </c>
      <c r="BA18" s="8">
        <v>0</v>
      </c>
      <c r="BB18" s="8">
        <v>0</v>
      </c>
      <c r="BC18" s="8">
        <v>0</v>
      </c>
      <c r="BD18" s="8">
        <v>0</v>
      </c>
    </row>
    <row r="19" spans="1:56">
      <c r="A19" s="135"/>
      <c r="B19" s="90" t="s">
        <v>217</v>
      </c>
      <c r="C19" s="92"/>
      <c r="D19" s="92"/>
      <c r="E19" s="92"/>
      <c r="F19" s="92"/>
      <c r="G19" s="145">
        <f>+VLOOKUP(($A$1),Sumario!$A$2:$AW$42,35,(FALSE))</f>
        <v>0</v>
      </c>
      <c r="H19" s="146"/>
      <c r="I19" s="147"/>
      <c r="J19" s="141"/>
      <c r="K19" s="142"/>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43">
        <v>45444</v>
      </c>
      <c r="AO19" s="69">
        <f t="shared" si="6"/>
        <v>1542.3700000000001</v>
      </c>
      <c r="AP19" s="69">
        <f t="shared" si="7"/>
        <v>0</v>
      </c>
      <c r="AQ19" s="69">
        <f t="shared" si="8"/>
        <v>1364.87</v>
      </c>
      <c r="AR19" s="69">
        <f t="shared" si="9"/>
        <v>51.62</v>
      </c>
      <c r="AT19" s="43">
        <v>45444</v>
      </c>
      <c r="AU19" s="69"/>
      <c r="AV19" s="69"/>
      <c r="AW19" s="69"/>
      <c r="AX19" s="69"/>
      <c r="AZ19" s="43">
        <f t="shared" si="3"/>
        <v>45444</v>
      </c>
      <c r="BA19" s="8">
        <v>0</v>
      </c>
      <c r="BB19" s="8">
        <v>0</v>
      </c>
      <c r="BC19" s="8">
        <v>0</v>
      </c>
      <c r="BD19" s="8">
        <v>0</v>
      </c>
    </row>
    <row r="20" spans="1:56">
      <c r="A20" s="135"/>
      <c r="B20" s="90" t="s">
        <v>218</v>
      </c>
      <c r="C20" s="92"/>
      <c r="D20" s="92"/>
      <c r="E20" s="92"/>
      <c r="F20" s="92"/>
      <c r="G20" s="145">
        <f>+VLOOKUP(($A$1),Sumario!$A$2:$AW$42,37,(FALSE))</f>
        <v>0</v>
      </c>
      <c r="H20" s="146"/>
      <c r="I20" s="147"/>
      <c r="J20" s="141"/>
      <c r="K20" s="142"/>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5"/>
      <c r="AO20" s="69"/>
      <c r="AP20" s="69"/>
      <c r="AQ20" s="69"/>
      <c r="AR20" s="69"/>
      <c r="AT20" s="15"/>
      <c r="AU20" s="69"/>
      <c r="AV20" s="69"/>
      <c r="AW20" s="69"/>
      <c r="AX20" s="69"/>
      <c r="AZ20" s="70"/>
      <c r="BA20" s="8"/>
      <c r="BB20" s="8"/>
      <c r="BC20" s="8"/>
      <c r="BD20" s="8"/>
    </row>
    <row r="21" spans="1:56">
      <c r="A21" s="135"/>
      <c r="B21" s="161" t="s">
        <v>219</v>
      </c>
      <c r="C21" s="92"/>
      <c r="D21" s="92"/>
      <c r="E21" s="92"/>
      <c r="F21" s="92"/>
      <c r="G21" s="160">
        <f>+G18+G19+G20</f>
        <v>1542371383.29</v>
      </c>
      <c r="H21" s="146"/>
      <c r="I21" s="147"/>
      <c r="J21" s="143"/>
      <c r="K21" s="144"/>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5"/>
      <c r="AO21" s="69"/>
      <c r="AP21" s="69"/>
      <c r="AQ21" s="69"/>
      <c r="AR21" s="69"/>
      <c r="AT21" s="15"/>
      <c r="AU21" s="69"/>
      <c r="AV21" s="69"/>
      <c r="AW21" s="69"/>
      <c r="AX21" s="69"/>
      <c r="AZ21" s="70"/>
      <c r="BA21" s="8"/>
      <c r="BB21" s="8"/>
      <c r="BC21" s="8"/>
      <c r="BD21" s="8"/>
    </row>
    <row r="22" spans="1:56">
      <c r="A22" s="135"/>
      <c r="B22" s="161" t="s">
        <v>220</v>
      </c>
      <c r="C22" s="92"/>
      <c r="D22" s="92"/>
      <c r="E22" s="92"/>
      <c r="F22" s="92"/>
      <c r="G22" s="160">
        <f>+VLOOKUP(($A$1),Sumario!$A$2:$AW$42,39,(FALSE))</f>
        <v>0</v>
      </c>
      <c r="H22" s="146"/>
      <c r="I22" s="147"/>
      <c r="J22" s="151" t="s">
        <v>221</v>
      </c>
      <c r="K22" s="152"/>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5"/>
      <c r="AO22" s="69"/>
      <c r="AP22" s="69"/>
      <c r="AQ22" s="69"/>
      <c r="AR22" s="69"/>
      <c r="AT22" s="15"/>
      <c r="AU22" s="69"/>
      <c r="AV22" s="69"/>
      <c r="AW22" s="69"/>
      <c r="AX22" s="69"/>
      <c r="AZ22" s="70"/>
      <c r="BA22" s="41"/>
      <c r="BB22" s="41"/>
      <c r="BC22" s="41"/>
      <c r="BD22" s="41"/>
    </row>
    <row r="23" spans="1:56" ht="15.75" customHeight="1" thickBot="1">
      <c r="A23" s="136"/>
      <c r="B23" s="155" t="s">
        <v>222</v>
      </c>
      <c r="C23" s="156"/>
      <c r="D23" s="156"/>
      <c r="E23" s="156"/>
      <c r="F23" s="156"/>
      <c r="G23" s="157">
        <f>+VLOOKUP(($A$1),Sumario!$A$2:$AZ$42,52,(FALSE))</f>
        <v>51620411.82</v>
      </c>
      <c r="H23" s="158"/>
      <c r="I23" s="159"/>
      <c r="J23" s="153"/>
      <c r="K23" s="154"/>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5"/>
      <c r="AO23" s="69"/>
      <c r="AP23" s="69"/>
      <c r="AQ23" s="69"/>
      <c r="AR23" s="69"/>
      <c r="AT23" s="15"/>
      <c r="AU23" s="69"/>
      <c r="AV23" s="69"/>
      <c r="AW23" s="69"/>
      <c r="AX23" s="69"/>
      <c r="AZ23" s="39"/>
      <c r="BA23" s="8"/>
      <c r="BB23" s="8"/>
      <c r="BC23" s="8"/>
      <c r="BD23" s="8"/>
    </row>
    <row r="24" spans="1:56" ht="15.75" customHeight="1" thickBo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5"/>
      <c r="AO24" s="69"/>
      <c r="AP24" s="69"/>
      <c r="AQ24" s="69"/>
      <c r="AR24" s="69"/>
      <c r="AT24" s="15"/>
      <c r="AU24" s="69"/>
      <c r="AV24" s="69"/>
      <c r="AW24" s="69"/>
      <c r="AX24" s="69"/>
      <c r="AZ24" s="39"/>
      <c r="BA24" s="8"/>
      <c r="BB24" s="8"/>
      <c r="BC24" s="8"/>
      <c r="BD24" s="8"/>
    </row>
    <row r="25" spans="1:56" ht="15" customHeight="1" thickBot="1">
      <c r="A25" s="83" t="s">
        <v>223</v>
      </c>
      <c r="B25" s="84"/>
      <c r="C25" s="84"/>
      <c r="D25" s="87"/>
      <c r="E25" s="117" t="str">
        <f>+VLOOKUP(($A$1),Sumario!$A$2:$AZ$42,4,(FALSE))</f>
        <v>Fondo Vial</v>
      </c>
      <c r="F25" s="91"/>
      <c r="G25" s="91"/>
      <c r="H25" s="91"/>
      <c r="I25" s="91"/>
      <c r="J25" s="91"/>
      <c r="K25" s="118"/>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5"/>
      <c r="AO25" s="69"/>
      <c r="AP25" s="69"/>
      <c r="AQ25" s="69"/>
      <c r="AR25" s="69"/>
      <c r="AT25" s="15"/>
      <c r="AU25" s="69"/>
      <c r="AV25" s="69"/>
      <c r="AW25" s="69"/>
      <c r="AX25" s="69"/>
      <c r="AZ25" s="39"/>
      <c r="BA25" s="8"/>
      <c r="BB25" s="8"/>
      <c r="BC25" s="8"/>
      <c r="BD25" s="8"/>
    </row>
    <row r="26" spans="1:56" ht="15" customHeight="1">
      <c r="A26" s="83" t="s">
        <v>224</v>
      </c>
      <c r="B26" s="84"/>
      <c r="C26" s="84"/>
      <c r="D26" s="87"/>
      <c r="E26" s="117" t="str">
        <f>+VLOOKUP(($A$1),Sumario!$A$2:$AZ$42,11,(FALSE))</f>
        <v>CONSORCIO RUTAS 119 Y 123 FLORES</v>
      </c>
      <c r="F26" s="91"/>
      <c r="G26" s="91"/>
      <c r="H26" s="91"/>
      <c r="I26" s="91"/>
      <c r="J26" s="91"/>
      <c r="K26" s="118"/>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5"/>
      <c r="AO26" s="69"/>
      <c r="AP26" s="69"/>
      <c r="AQ26" s="69"/>
      <c r="AR26" s="69"/>
      <c r="AT26" s="15"/>
      <c r="AU26" s="69"/>
      <c r="AV26" s="69"/>
      <c r="AW26" s="69"/>
      <c r="AX26" s="69"/>
      <c r="AZ26" s="39"/>
      <c r="BA26" s="8"/>
      <c r="BB26" s="8"/>
      <c r="BC26" s="8"/>
      <c r="BD26" s="8"/>
    </row>
    <row r="27" spans="1:56" ht="1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5"/>
      <c r="AO27" s="69"/>
      <c r="AP27" s="69"/>
      <c r="AQ27" s="69"/>
      <c r="AR27" s="69"/>
      <c r="AT27" s="15"/>
      <c r="AU27" s="69"/>
      <c r="AV27" s="69"/>
      <c r="AW27" s="69"/>
      <c r="AX27" s="69"/>
      <c r="AZ27" s="39"/>
      <c r="BA27" s="8"/>
      <c r="BB27" s="8"/>
      <c r="BC27" s="8"/>
      <c r="BD27" s="8"/>
    </row>
    <row r="28" spans="1:56" ht="15" customHeight="1" thickBot="1">
      <c r="A28" s="11" t="s">
        <v>225</v>
      </c>
      <c r="B28" s="11"/>
      <c r="C28" s="11"/>
      <c r="D28" s="11"/>
      <c r="E28" s="11"/>
      <c r="F28" s="12"/>
      <c r="G28" s="12"/>
      <c r="H28" s="12"/>
      <c r="I28" s="12"/>
      <c r="J28" s="11" t="s">
        <v>226</v>
      </c>
      <c r="K28" s="12"/>
      <c r="L28" s="13"/>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7"/>
      <c r="AO28" s="69"/>
      <c r="AP28" s="69"/>
      <c r="AQ28" s="69"/>
      <c r="AR28" s="69"/>
      <c r="AT28" s="17"/>
      <c r="AU28" s="69"/>
      <c r="AV28" s="69"/>
      <c r="AW28" s="69"/>
      <c r="AX28" s="69"/>
      <c r="AZ28" s="40"/>
      <c r="BA28" s="8"/>
      <c r="BB28" s="8"/>
      <c r="BC28" s="8"/>
      <c r="BD28" s="8"/>
    </row>
    <row r="29" spans="1:56" ht="15" customHeight="1">
      <c r="A29" s="119"/>
      <c r="B29" s="120"/>
      <c r="C29" s="120"/>
      <c r="D29" s="120"/>
      <c r="E29" s="120"/>
      <c r="F29" s="120"/>
      <c r="G29" s="120"/>
      <c r="H29" s="121"/>
      <c r="I29" s="125" t="str">
        <f>+VLOOKUP(($A$1),Sumario!$A$2:$AZ$42,48,(FALSE))</f>
        <v xml:space="preserve">En conjunto con la Municipalidad de Flores el 4 de mayo se tuvo un acercamiento con los vecinos de la comunidad; además, el 10 de mayo se conversó con los comerciantes de la zona, esto con el fin de atender dudas.
La Municipalidad de Flores no está anuente a ejecutar el proyecto de forma paralela.
Se está en formulación de la Orden de Modificación No.2. En los próximos meses se actualizará la curva S. </v>
      </c>
      <c r="J29" s="126"/>
      <c r="K29" s="126"/>
      <c r="L29" s="126"/>
      <c r="M29" s="126"/>
      <c r="N29" s="126"/>
      <c r="O29" s="126"/>
      <c r="P29" s="126"/>
      <c r="Q29" s="126"/>
      <c r="R29" s="126"/>
      <c r="S29" s="126"/>
      <c r="T29" s="126"/>
      <c r="U29" s="126"/>
      <c r="V29" s="126"/>
      <c r="W29" s="127"/>
      <c r="X29" s="1"/>
      <c r="Y29" s="1"/>
      <c r="Z29" s="1"/>
      <c r="AA29" s="1"/>
      <c r="AB29" s="1"/>
      <c r="AC29" s="1"/>
      <c r="AD29" s="1"/>
      <c r="AE29" s="1"/>
      <c r="AF29" s="1"/>
      <c r="AG29" s="1"/>
      <c r="AH29" s="1"/>
      <c r="AI29" s="1"/>
      <c r="AJ29" s="1"/>
      <c r="AK29" s="1"/>
      <c r="AL29" s="1"/>
      <c r="AM29" s="1"/>
      <c r="AN29" s="15"/>
      <c r="AO29" s="69"/>
      <c r="AP29" s="69"/>
      <c r="AQ29" s="69"/>
      <c r="AR29" s="69"/>
      <c r="AT29" s="15"/>
      <c r="AU29" s="69"/>
      <c r="AV29" s="69"/>
      <c r="AW29" s="69"/>
      <c r="AX29" s="69"/>
      <c r="AZ29" s="39"/>
      <c r="BA29" s="8"/>
      <c r="BB29" s="8"/>
      <c r="BC29" s="8"/>
      <c r="BD29" s="8"/>
    </row>
    <row r="30" spans="1:56" ht="15" customHeight="1">
      <c r="A30" s="81"/>
      <c r="B30" s="122"/>
      <c r="C30" s="122"/>
      <c r="D30" s="122"/>
      <c r="E30" s="122"/>
      <c r="F30" s="122"/>
      <c r="G30" s="122"/>
      <c r="H30" s="123"/>
      <c r="I30" s="128"/>
      <c r="J30" s="129"/>
      <c r="K30" s="129"/>
      <c r="L30" s="129"/>
      <c r="M30" s="129"/>
      <c r="N30" s="129"/>
      <c r="O30" s="129"/>
      <c r="P30" s="129"/>
      <c r="Q30" s="129"/>
      <c r="R30" s="129"/>
      <c r="S30" s="129"/>
      <c r="T30" s="129"/>
      <c r="U30" s="129"/>
      <c r="V30" s="129"/>
      <c r="W30" s="130"/>
      <c r="X30" s="1"/>
      <c r="Y30" s="1"/>
      <c r="Z30" s="1"/>
      <c r="AA30" s="1"/>
      <c r="AB30" s="1"/>
      <c r="AC30" s="1"/>
      <c r="AD30" s="1"/>
      <c r="AE30" s="1"/>
      <c r="AF30" s="1"/>
      <c r="AG30" s="1"/>
      <c r="AH30" s="1"/>
      <c r="AI30" s="1"/>
      <c r="AJ30" s="1"/>
      <c r="AK30" s="1"/>
      <c r="AL30" s="1"/>
      <c r="AM30" s="1"/>
      <c r="AN30" s="15"/>
      <c r="AO30" s="69"/>
      <c r="AP30" s="69"/>
      <c r="AQ30" s="69"/>
      <c r="AR30" s="69"/>
      <c r="AT30" s="15"/>
      <c r="AU30" s="69"/>
      <c r="AV30" s="69"/>
      <c r="AW30" s="69"/>
      <c r="AX30" s="69"/>
      <c r="AZ30" s="39"/>
      <c r="BA30" s="8"/>
      <c r="BB30" s="8"/>
      <c r="BC30" s="8"/>
      <c r="BD30" s="8"/>
    </row>
    <row r="31" spans="1:56" ht="15" customHeight="1">
      <c r="A31" s="81"/>
      <c r="B31" s="122"/>
      <c r="C31" s="122"/>
      <c r="D31" s="122"/>
      <c r="E31" s="122"/>
      <c r="F31" s="122"/>
      <c r="G31" s="122"/>
      <c r="H31" s="123"/>
      <c r="I31" s="128"/>
      <c r="J31" s="129"/>
      <c r="K31" s="129"/>
      <c r="L31" s="129"/>
      <c r="M31" s="129"/>
      <c r="N31" s="129"/>
      <c r="O31" s="129"/>
      <c r="P31" s="129"/>
      <c r="Q31" s="129"/>
      <c r="R31" s="129"/>
      <c r="S31" s="129"/>
      <c r="T31" s="129"/>
      <c r="U31" s="129"/>
      <c r="V31" s="129"/>
      <c r="W31" s="130"/>
      <c r="X31" s="1"/>
      <c r="Y31" s="1"/>
      <c r="Z31" s="1"/>
      <c r="AA31" s="1"/>
      <c r="AB31" s="1"/>
      <c r="AC31" s="1"/>
      <c r="AD31" s="1"/>
      <c r="AE31" s="1"/>
      <c r="AF31" s="1"/>
      <c r="AG31" s="1"/>
      <c r="AH31" s="1"/>
      <c r="AI31" s="1"/>
      <c r="AJ31" s="1"/>
      <c r="AK31" s="1"/>
      <c r="AL31" s="1"/>
      <c r="AM31" s="1"/>
      <c r="AN31" s="15"/>
      <c r="AO31" s="69"/>
      <c r="AP31" s="69"/>
      <c r="AQ31" s="69"/>
      <c r="AR31" s="69"/>
      <c r="AT31" s="15"/>
      <c r="AU31" s="69"/>
      <c r="AV31" s="69"/>
      <c r="AW31" s="69"/>
      <c r="AX31" s="69"/>
      <c r="AZ31" s="39"/>
      <c r="BA31" s="8"/>
      <c r="BB31" s="8"/>
      <c r="BC31" s="8"/>
      <c r="BD31" s="8"/>
    </row>
    <row r="32" spans="1:56" ht="15" customHeight="1">
      <c r="A32" s="81"/>
      <c r="B32" s="122"/>
      <c r="C32" s="122"/>
      <c r="D32" s="122"/>
      <c r="E32" s="122"/>
      <c r="F32" s="122"/>
      <c r="G32" s="122"/>
      <c r="H32" s="123"/>
      <c r="I32" s="128"/>
      <c r="J32" s="129"/>
      <c r="K32" s="129"/>
      <c r="L32" s="129"/>
      <c r="M32" s="129"/>
      <c r="N32" s="129"/>
      <c r="O32" s="129"/>
      <c r="P32" s="129"/>
      <c r="Q32" s="129"/>
      <c r="R32" s="129"/>
      <c r="S32" s="129"/>
      <c r="T32" s="129"/>
      <c r="U32" s="129"/>
      <c r="V32" s="129"/>
      <c r="W32" s="130"/>
      <c r="X32" s="1"/>
      <c r="Y32" s="1"/>
      <c r="Z32" s="1"/>
      <c r="AA32" s="1"/>
      <c r="AB32" s="1"/>
      <c r="AC32" s="1"/>
      <c r="AD32" s="1"/>
      <c r="AE32" s="1"/>
      <c r="AF32" s="1"/>
      <c r="AG32" s="1"/>
      <c r="AH32" s="1"/>
      <c r="AI32" s="1"/>
      <c r="AJ32" s="1"/>
      <c r="AK32" s="1"/>
      <c r="AL32" s="1"/>
      <c r="AM32" s="1"/>
      <c r="AN32" s="15"/>
      <c r="AO32" s="69"/>
      <c r="AP32" s="69"/>
      <c r="AQ32" s="69"/>
      <c r="AR32" s="69"/>
      <c r="AT32" s="15"/>
      <c r="AU32" s="69"/>
      <c r="AV32" s="69"/>
      <c r="AW32" s="69"/>
      <c r="AX32" s="69"/>
      <c r="AZ32" s="39"/>
      <c r="BA32" s="8"/>
      <c r="BB32" s="8"/>
      <c r="BC32" s="8"/>
      <c r="BD32" s="8"/>
    </row>
    <row r="33" spans="1:56" ht="15" customHeight="1">
      <c r="A33" s="81"/>
      <c r="B33" s="122"/>
      <c r="C33" s="122"/>
      <c r="D33" s="122"/>
      <c r="E33" s="122"/>
      <c r="F33" s="122"/>
      <c r="G33" s="122"/>
      <c r="H33" s="123"/>
      <c r="I33" s="128"/>
      <c r="J33" s="129"/>
      <c r="K33" s="129"/>
      <c r="L33" s="129"/>
      <c r="M33" s="129"/>
      <c r="N33" s="129"/>
      <c r="O33" s="129"/>
      <c r="P33" s="129"/>
      <c r="Q33" s="129"/>
      <c r="R33" s="129"/>
      <c r="S33" s="129"/>
      <c r="T33" s="129"/>
      <c r="U33" s="129"/>
      <c r="V33" s="129"/>
      <c r="W33" s="130"/>
      <c r="X33" s="1"/>
      <c r="Y33" s="1"/>
      <c r="Z33" s="1"/>
      <c r="AA33" s="1"/>
      <c r="AB33" s="1"/>
      <c r="AC33" s="1"/>
      <c r="AD33" s="1"/>
      <c r="AE33" s="1"/>
      <c r="AF33" s="1"/>
      <c r="AG33" s="1"/>
      <c r="AH33" s="1"/>
      <c r="AI33" s="1"/>
      <c r="AJ33" s="1"/>
      <c r="AK33" s="1"/>
      <c r="AL33" s="1"/>
      <c r="AM33" s="1"/>
      <c r="AN33" s="15"/>
      <c r="AO33" s="69"/>
      <c r="AP33" s="69"/>
      <c r="AQ33" s="69"/>
      <c r="AR33" s="69"/>
      <c r="AT33" s="15"/>
      <c r="AU33" s="69"/>
      <c r="AV33" s="69"/>
      <c r="AW33" s="69"/>
      <c r="AX33" s="69"/>
      <c r="AZ33" s="15"/>
      <c r="BA33" s="42"/>
      <c r="BB33" s="42"/>
      <c r="BC33" s="42"/>
      <c r="BD33" s="42"/>
    </row>
    <row r="34" spans="1:56" ht="15" customHeight="1">
      <c r="A34" s="81"/>
      <c r="B34" s="122"/>
      <c r="C34" s="122"/>
      <c r="D34" s="122"/>
      <c r="E34" s="122"/>
      <c r="F34" s="122"/>
      <c r="G34" s="122"/>
      <c r="H34" s="123"/>
      <c r="I34" s="128"/>
      <c r="J34" s="129"/>
      <c r="K34" s="129"/>
      <c r="L34" s="129"/>
      <c r="M34" s="129"/>
      <c r="N34" s="129"/>
      <c r="O34" s="129"/>
      <c r="P34" s="129"/>
      <c r="Q34" s="129"/>
      <c r="R34" s="129"/>
      <c r="S34" s="129"/>
      <c r="T34" s="129"/>
      <c r="U34" s="129"/>
      <c r="V34" s="129"/>
      <c r="W34" s="130"/>
      <c r="X34" s="1"/>
      <c r="Y34" s="1"/>
      <c r="Z34" s="1"/>
      <c r="AA34" s="1"/>
      <c r="AB34" s="1"/>
      <c r="AC34" s="1"/>
      <c r="AD34" s="1"/>
      <c r="AE34" s="1"/>
      <c r="AF34" s="1"/>
      <c r="AG34" s="1"/>
      <c r="AH34" s="1"/>
      <c r="AI34" s="1"/>
      <c r="AJ34" s="1"/>
      <c r="AK34" s="1"/>
      <c r="AL34" s="1"/>
      <c r="AM34" s="1"/>
      <c r="AN34" s="15"/>
      <c r="AO34" s="69"/>
      <c r="AP34" s="69"/>
      <c r="AQ34" s="69"/>
      <c r="AR34" s="69"/>
      <c r="AT34" s="15"/>
      <c r="AU34" s="69"/>
      <c r="AV34" s="69"/>
      <c r="AW34" s="69"/>
      <c r="AX34" s="69"/>
      <c r="AZ34" s="15"/>
      <c r="BA34" s="8"/>
      <c r="BB34" s="8"/>
      <c r="BC34" s="8"/>
      <c r="BD34" s="8"/>
    </row>
    <row r="35" spans="1:56" ht="15" customHeight="1">
      <c r="A35" s="81"/>
      <c r="B35" s="122"/>
      <c r="C35" s="122"/>
      <c r="D35" s="122"/>
      <c r="E35" s="122"/>
      <c r="F35" s="122"/>
      <c r="G35" s="122"/>
      <c r="H35" s="123"/>
      <c r="I35" s="128"/>
      <c r="J35" s="129"/>
      <c r="K35" s="129"/>
      <c r="L35" s="129"/>
      <c r="M35" s="129"/>
      <c r="N35" s="129"/>
      <c r="O35" s="129"/>
      <c r="P35" s="129"/>
      <c r="Q35" s="129"/>
      <c r="R35" s="129"/>
      <c r="S35" s="129"/>
      <c r="T35" s="129"/>
      <c r="U35" s="129"/>
      <c r="V35" s="129"/>
      <c r="W35" s="130"/>
      <c r="X35" s="1"/>
      <c r="Y35" s="1"/>
      <c r="Z35" s="1"/>
      <c r="AA35" s="1"/>
      <c r="AB35" s="1"/>
      <c r="AC35" s="1"/>
      <c r="AD35" s="1"/>
      <c r="AE35" s="1"/>
      <c r="AF35" s="1"/>
      <c r="AG35" s="1"/>
      <c r="AH35" s="1"/>
      <c r="AI35" s="1"/>
      <c r="AJ35" s="1"/>
      <c r="AK35" s="1"/>
      <c r="AL35" s="1"/>
      <c r="AM35" s="1"/>
      <c r="AN35" s="15"/>
      <c r="AO35" s="69"/>
      <c r="AP35" s="69"/>
      <c r="AQ35" s="69"/>
      <c r="AR35" s="69"/>
      <c r="AT35" s="15"/>
      <c r="AU35" s="69"/>
      <c r="AV35" s="69"/>
      <c r="AW35" s="69"/>
      <c r="AX35" s="69"/>
      <c r="AZ35" s="15"/>
      <c r="BA35" s="8"/>
      <c r="BB35" s="8"/>
      <c r="BC35" s="8"/>
      <c r="BD35" s="8"/>
    </row>
    <row r="36" spans="1:56" ht="15" customHeight="1">
      <c r="A36" s="81"/>
      <c r="B36" s="122"/>
      <c r="C36" s="122"/>
      <c r="D36" s="122"/>
      <c r="E36" s="122"/>
      <c r="F36" s="122"/>
      <c r="G36" s="122"/>
      <c r="H36" s="123"/>
      <c r="I36" s="128"/>
      <c r="J36" s="129"/>
      <c r="K36" s="129"/>
      <c r="L36" s="129"/>
      <c r="M36" s="129"/>
      <c r="N36" s="129"/>
      <c r="O36" s="129"/>
      <c r="P36" s="129"/>
      <c r="Q36" s="129"/>
      <c r="R36" s="129"/>
      <c r="S36" s="129"/>
      <c r="T36" s="129"/>
      <c r="U36" s="129"/>
      <c r="V36" s="129"/>
      <c r="W36" s="130"/>
      <c r="X36" s="1"/>
      <c r="Y36" s="1"/>
      <c r="Z36" s="1"/>
      <c r="AA36" s="1"/>
      <c r="AB36" s="1"/>
      <c r="AC36" s="1"/>
      <c r="AD36" s="1"/>
      <c r="AE36" s="1"/>
      <c r="AF36" s="1"/>
      <c r="AG36" s="1"/>
      <c r="AH36" s="1"/>
      <c r="AI36" s="1"/>
      <c r="AJ36" s="1"/>
      <c r="AK36" s="1"/>
      <c r="AL36" s="1"/>
      <c r="AM36" s="1"/>
      <c r="AN36" s="15"/>
      <c r="AO36" s="69"/>
      <c r="AP36" s="69"/>
      <c r="AQ36" s="69"/>
      <c r="AR36" s="69"/>
      <c r="AT36" s="15"/>
      <c r="AU36" s="69"/>
      <c r="AV36" s="69"/>
      <c r="AW36" s="69"/>
      <c r="AX36" s="69"/>
      <c r="AZ36" s="15"/>
      <c r="BA36" s="8"/>
      <c r="BB36" s="8"/>
      <c r="BC36" s="8"/>
      <c r="BD36" s="8"/>
    </row>
    <row r="37" spans="1:56" ht="15" customHeight="1" thickBot="1">
      <c r="A37" s="82"/>
      <c r="B37" s="124"/>
      <c r="C37" s="124"/>
      <c r="D37" s="124"/>
      <c r="E37" s="124"/>
      <c r="F37" s="124"/>
      <c r="G37" s="124"/>
      <c r="H37" s="113"/>
      <c r="I37" s="131"/>
      <c r="J37" s="132"/>
      <c r="K37" s="132"/>
      <c r="L37" s="132"/>
      <c r="M37" s="132"/>
      <c r="N37" s="132"/>
      <c r="O37" s="132"/>
      <c r="P37" s="132"/>
      <c r="Q37" s="132"/>
      <c r="R37" s="132"/>
      <c r="S37" s="132"/>
      <c r="T37" s="132"/>
      <c r="U37" s="132"/>
      <c r="V37" s="132"/>
      <c r="W37" s="133"/>
      <c r="X37" s="1"/>
      <c r="Y37" s="1"/>
      <c r="Z37" s="1"/>
      <c r="AA37" s="1"/>
      <c r="AB37" s="1"/>
      <c r="AC37" s="1"/>
      <c r="AD37" s="1"/>
      <c r="AE37" s="1"/>
      <c r="AF37" s="1"/>
      <c r="AG37" s="1"/>
      <c r="AH37" s="1"/>
      <c r="AI37" s="1"/>
      <c r="AJ37" s="1"/>
      <c r="AK37" s="1"/>
      <c r="AL37" s="1"/>
      <c r="AM37" s="1"/>
      <c r="AN37" s="15"/>
      <c r="AO37" s="69"/>
      <c r="AP37" s="69"/>
      <c r="AQ37" s="69"/>
      <c r="AR37" s="69"/>
      <c r="AT37" s="15"/>
      <c r="AU37" s="69"/>
      <c r="AV37" s="69"/>
      <c r="AW37" s="69"/>
      <c r="AX37" s="69"/>
      <c r="AZ37" s="15"/>
      <c r="BA37" s="8"/>
      <c r="BB37" s="8"/>
      <c r="BC37" s="8"/>
      <c r="BD37" s="18"/>
    </row>
    <row r="38" spans="1:56" ht="15" customHeight="1">
      <c r="A38" s="14"/>
      <c r="B38" s="14"/>
      <c r="C38" s="14"/>
      <c r="D38" s="14"/>
      <c r="E38" s="14"/>
      <c r="F38" s="14"/>
      <c r="G38" s="14"/>
      <c r="H38" s="14"/>
      <c r="I38" s="14"/>
      <c r="J38" s="14"/>
      <c r="K38" s="14"/>
      <c r="L38" s="14"/>
      <c r="M38" s="14"/>
      <c r="N38" s="14"/>
      <c r="O38" s="14"/>
      <c r="P38" s="14"/>
      <c r="Q38" s="14"/>
      <c r="R38" s="14"/>
      <c r="S38" s="14"/>
      <c r="AN38" s="15"/>
      <c r="AO38" s="69"/>
      <c r="AP38" s="69"/>
      <c r="AQ38" s="69"/>
      <c r="AR38" s="69"/>
      <c r="AT38" s="15"/>
      <c r="AU38" s="69"/>
      <c r="AV38" s="69"/>
      <c r="AW38" s="69"/>
      <c r="AX38" s="69"/>
      <c r="AZ38" s="15"/>
      <c r="BA38" s="8"/>
      <c r="BB38" s="8"/>
      <c r="BC38" s="8"/>
      <c r="BD38" s="8"/>
    </row>
    <row r="39" spans="1:56" ht="15.75" customHeight="1">
      <c r="A39" s="14"/>
      <c r="B39" s="14"/>
      <c r="C39" s="14"/>
      <c r="D39" s="14"/>
      <c r="E39" s="14"/>
      <c r="F39" s="14"/>
      <c r="G39" s="14"/>
      <c r="H39" s="14"/>
      <c r="I39" s="14"/>
      <c r="J39" s="14"/>
      <c r="K39" s="14"/>
      <c r="L39" s="14"/>
      <c r="M39" s="14"/>
      <c r="N39" s="14"/>
      <c r="O39" s="14"/>
      <c r="P39" s="14"/>
      <c r="Q39" s="14"/>
      <c r="R39" s="14"/>
      <c r="S39" s="14"/>
      <c r="AN39" s="15"/>
      <c r="AO39" s="69"/>
      <c r="AP39" s="69"/>
      <c r="AQ39" s="69"/>
      <c r="AR39" s="69"/>
      <c r="AT39" s="15"/>
      <c r="AU39" s="69"/>
      <c r="AV39" s="69"/>
      <c r="AW39" s="69"/>
      <c r="AX39" s="69"/>
      <c r="AZ39" s="15"/>
      <c r="BA39" s="8"/>
      <c r="BB39" s="8"/>
      <c r="BC39" s="8"/>
      <c r="BD39" s="8"/>
    </row>
    <row r="40" spans="1:56" ht="15.75" customHeight="1">
      <c r="A40" s="14"/>
      <c r="B40" s="14"/>
      <c r="C40" s="14"/>
      <c r="D40" s="14"/>
      <c r="E40" s="14"/>
      <c r="F40" s="14"/>
      <c r="G40" s="14"/>
      <c r="H40" s="14"/>
      <c r="I40" s="14"/>
      <c r="J40" s="14"/>
      <c r="K40" s="14"/>
      <c r="L40" s="14"/>
      <c r="M40" s="14"/>
      <c r="N40" s="14"/>
      <c r="O40" s="14"/>
      <c r="P40" s="14"/>
      <c r="Q40" s="14"/>
      <c r="R40" s="14"/>
      <c r="S40" s="14"/>
      <c r="AN40" s="17"/>
      <c r="AO40" s="69"/>
      <c r="AP40" s="69"/>
      <c r="AQ40" s="69"/>
      <c r="AR40" s="69"/>
      <c r="AT40" s="17"/>
      <c r="AU40" s="69"/>
      <c r="AV40" s="69"/>
      <c r="AW40" s="69"/>
      <c r="AX40" s="69"/>
      <c r="AZ40" s="17"/>
      <c r="BA40" s="8"/>
      <c r="BB40" s="8"/>
      <c r="BC40" s="8"/>
      <c r="BD40" s="8"/>
    </row>
    <row r="41" spans="1:56" ht="15.75" customHeight="1">
      <c r="A41" s="14"/>
      <c r="B41" s="14"/>
      <c r="C41" s="14"/>
      <c r="D41" s="14"/>
      <c r="E41" s="14"/>
      <c r="F41" s="14"/>
      <c r="G41" s="14"/>
      <c r="H41" s="14"/>
      <c r="I41" s="14"/>
      <c r="J41" s="14"/>
      <c r="K41" s="14"/>
      <c r="L41" s="14"/>
      <c r="M41" s="14"/>
      <c r="N41" s="14"/>
      <c r="O41" s="14"/>
      <c r="P41" s="14"/>
      <c r="Q41" s="14"/>
      <c r="R41" s="14"/>
      <c r="S41" s="14"/>
      <c r="AN41" s="15"/>
      <c r="AO41" s="69"/>
      <c r="AP41" s="69"/>
      <c r="AQ41" s="69"/>
      <c r="AR41" s="69"/>
      <c r="AT41" s="15"/>
      <c r="AU41" s="69"/>
      <c r="AV41" s="69"/>
      <c r="AW41" s="69"/>
      <c r="AX41" s="69"/>
      <c r="AZ41" s="15"/>
      <c r="BA41" s="8"/>
      <c r="BB41" s="8"/>
      <c r="BC41" s="8"/>
      <c r="BD41" s="8"/>
    </row>
    <row r="42" spans="1:56" ht="15.75" customHeight="1">
      <c r="A42" s="14"/>
      <c r="B42" s="14"/>
      <c r="C42" s="14"/>
      <c r="D42" s="14"/>
      <c r="E42" s="14"/>
      <c r="F42" s="14"/>
      <c r="G42" s="14"/>
      <c r="H42" s="14"/>
      <c r="I42" s="14"/>
      <c r="J42" s="14"/>
      <c r="K42" s="14"/>
      <c r="L42" s="14"/>
      <c r="M42" s="14"/>
      <c r="N42" s="14"/>
      <c r="O42" s="14"/>
      <c r="P42" s="14"/>
      <c r="Q42" s="14"/>
      <c r="R42" s="14"/>
      <c r="S42" s="14"/>
      <c r="AN42" s="15"/>
      <c r="AO42" s="69"/>
      <c r="AP42" s="69"/>
      <c r="AQ42" s="69"/>
      <c r="AR42" s="69"/>
      <c r="AT42" s="15"/>
      <c r="AU42" s="69"/>
      <c r="AV42" s="69"/>
      <c r="AW42" s="69"/>
      <c r="AX42" s="69"/>
      <c r="AZ42" s="15"/>
      <c r="BA42" s="8"/>
      <c r="BB42" s="8"/>
      <c r="BC42" s="8"/>
      <c r="BD42" s="8"/>
    </row>
    <row r="43" spans="1:56" ht="15.75" customHeight="1">
      <c r="AN43" s="15"/>
      <c r="AO43" s="69"/>
      <c r="AP43" s="69"/>
      <c r="AQ43" s="69"/>
      <c r="AR43" s="69"/>
      <c r="AT43" s="15"/>
      <c r="AU43" s="69"/>
      <c r="AV43" s="69"/>
      <c r="AW43" s="69"/>
      <c r="AX43" s="69"/>
      <c r="AZ43" s="15"/>
      <c r="BA43" s="8"/>
      <c r="BB43" s="8"/>
      <c r="BC43" s="8"/>
      <c r="BD43" s="8"/>
    </row>
    <row r="44" spans="1:56" ht="15" customHeight="1">
      <c r="AN44" s="15"/>
      <c r="AO44" s="69"/>
      <c r="AP44" s="69"/>
      <c r="AQ44" s="69"/>
      <c r="AR44" s="69"/>
      <c r="AT44" s="15"/>
      <c r="AU44" s="69"/>
      <c r="AV44" s="69"/>
      <c r="AW44" s="69"/>
      <c r="AX44" s="69"/>
      <c r="AZ44" s="15"/>
      <c r="BA44" s="8"/>
      <c r="BB44" s="8"/>
      <c r="BC44" s="8"/>
      <c r="BD44" s="8"/>
    </row>
    <row r="45" spans="1:56" ht="15.75" customHeight="1">
      <c r="AN45" s="15"/>
      <c r="AO45" s="69"/>
      <c r="AP45" s="69"/>
      <c r="AQ45" s="69"/>
      <c r="AR45" s="69"/>
      <c r="AT45" s="15"/>
      <c r="AU45" s="69"/>
      <c r="AV45" s="69"/>
      <c r="AW45" s="69"/>
      <c r="AX45" s="69"/>
      <c r="AZ45" s="15"/>
      <c r="BA45" s="8"/>
      <c r="BB45" s="8"/>
      <c r="BC45" s="8"/>
      <c r="BD45" s="8"/>
    </row>
    <row r="46" spans="1:56" ht="15.75" customHeight="1">
      <c r="AN46" s="15"/>
      <c r="AO46" s="69"/>
      <c r="AP46" s="69"/>
      <c r="AQ46" s="69"/>
      <c r="AR46" s="69"/>
      <c r="AT46" s="15"/>
      <c r="AU46" s="69"/>
      <c r="AV46" s="69"/>
      <c r="AW46" s="69"/>
      <c r="AX46" s="69"/>
      <c r="AZ46" s="15"/>
      <c r="BA46" s="8"/>
      <c r="BB46" s="8"/>
      <c r="BC46" s="8"/>
      <c r="BD46" s="8"/>
    </row>
    <row r="47" spans="1:56" ht="15.75" customHeight="1">
      <c r="AN47" s="15"/>
      <c r="AO47" s="69"/>
      <c r="AP47" s="69"/>
      <c r="AQ47" s="69"/>
      <c r="AR47" s="69"/>
      <c r="AT47" s="15"/>
      <c r="AU47" s="69"/>
      <c r="AV47" s="69"/>
      <c r="AW47" s="69"/>
      <c r="AX47" s="69"/>
      <c r="AZ47" s="15"/>
      <c r="BA47" s="8"/>
      <c r="BB47" s="8"/>
      <c r="BC47" s="8"/>
      <c r="BD47" s="8"/>
    </row>
    <row r="48" spans="1:56" ht="15.75" customHeight="1">
      <c r="AZ48" s="15"/>
      <c r="BA48" s="8"/>
      <c r="BB48" s="8"/>
      <c r="BC48" s="8"/>
      <c r="BD48" s="8"/>
    </row>
    <row r="49" spans="52:56" ht="15.75" customHeight="1">
      <c r="AZ49" s="15"/>
      <c r="BA49" s="8"/>
      <c r="BB49" s="8"/>
      <c r="BC49" s="8"/>
      <c r="BD49" s="8"/>
    </row>
    <row r="50" spans="52:56" ht="15.75" customHeight="1">
      <c r="AZ50" s="15"/>
      <c r="BA50" s="8"/>
      <c r="BB50" s="8"/>
      <c r="BC50" s="8"/>
      <c r="BD50" s="8"/>
    </row>
    <row r="51" spans="52:56" ht="15.75" customHeight="1">
      <c r="AZ51" s="15"/>
      <c r="BA51" s="8"/>
      <c r="BB51" s="8"/>
      <c r="BC51" s="8"/>
      <c r="BD51" s="8"/>
    </row>
    <row r="52" spans="52:56" ht="15.75" customHeight="1">
      <c r="AZ52" s="15"/>
      <c r="BA52" s="8"/>
      <c r="BB52" s="8"/>
      <c r="BC52" s="8"/>
      <c r="BD52" s="8"/>
    </row>
    <row r="53" spans="52:56" ht="15.75" customHeight="1"/>
    <row r="54" spans="52:56" ht="15.75" customHeight="1"/>
    <row r="55" spans="52:56" ht="15.75" customHeight="1"/>
    <row r="56" spans="52:56" ht="15.75" customHeight="1"/>
    <row r="57" spans="52:56" ht="15.75" customHeight="1"/>
    <row r="58" spans="52:56" ht="15.75" customHeight="1"/>
    <row r="59" spans="52:56" ht="15.75" customHeight="1"/>
    <row r="60" spans="52:56" ht="15.75" customHeight="1"/>
    <row r="61" spans="52:56" ht="15.75" customHeight="1"/>
    <row r="62" spans="52:56" ht="15.75" customHeight="1"/>
    <row r="63" spans="52:56" ht="15.75" customHeight="1"/>
    <row r="64" spans="52:5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65">
    <mergeCell ref="A1:AM1"/>
    <mergeCell ref="A2:AM2"/>
    <mergeCell ref="A3:AM3"/>
    <mergeCell ref="A4:C5"/>
    <mergeCell ref="E4:G5"/>
    <mergeCell ref="I4:K5"/>
    <mergeCell ref="M4:O5"/>
    <mergeCell ref="Q4:S5"/>
    <mergeCell ref="U4:W5"/>
    <mergeCell ref="Y4:AA5"/>
    <mergeCell ref="AC4:AE5"/>
    <mergeCell ref="AG4:AI5"/>
    <mergeCell ref="AK4:AM5"/>
    <mergeCell ref="A6:C6"/>
    <mergeCell ref="E6:G6"/>
    <mergeCell ref="I6:K6"/>
    <mergeCell ref="M6:O6"/>
    <mergeCell ref="Q6:S6"/>
    <mergeCell ref="U6:W6"/>
    <mergeCell ref="Y6:AA6"/>
    <mergeCell ref="A8:A16"/>
    <mergeCell ref="B8:F8"/>
    <mergeCell ref="G8:I8"/>
    <mergeCell ref="J8:K14"/>
    <mergeCell ref="B9:F9"/>
    <mergeCell ref="G9:H9"/>
    <mergeCell ref="B10:F10"/>
    <mergeCell ref="B13:F13"/>
    <mergeCell ref="G13:H13"/>
    <mergeCell ref="AC6:AE6"/>
    <mergeCell ref="AG6:AI6"/>
    <mergeCell ref="AK6:AM6"/>
    <mergeCell ref="G10:H10"/>
    <mergeCell ref="B11:F11"/>
    <mergeCell ref="G11:H11"/>
    <mergeCell ref="B12:F12"/>
    <mergeCell ref="G12:H12"/>
    <mergeCell ref="B14:F14"/>
    <mergeCell ref="G14:I14"/>
    <mergeCell ref="B15:F15"/>
    <mergeCell ref="G15:H15"/>
    <mergeCell ref="J15:K16"/>
    <mergeCell ref="B16:F16"/>
    <mergeCell ref="G16:I16"/>
    <mergeCell ref="G19:I19"/>
    <mergeCell ref="B20:F20"/>
    <mergeCell ref="G20:I20"/>
    <mergeCell ref="B21:F21"/>
    <mergeCell ref="G21:I21"/>
    <mergeCell ref="A26:D26"/>
    <mergeCell ref="E26:K26"/>
    <mergeCell ref="A29:H37"/>
    <mergeCell ref="I29:W37"/>
    <mergeCell ref="B22:F22"/>
    <mergeCell ref="G22:I22"/>
    <mergeCell ref="J22:K23"/>
    <mergeCell ref="B23:F23"/>
    <mergeCell ref="G23:I23"/>
    <mergeCell ref="A25:D25"/>
    <mergeCell ref="E25:K25"/>
    <mergeCell ref="A18:A23"/>
    <mergeCell ref="B18:F18"/>
    <mergeCell ref="G18:I18"/>
    <mergeCell ref="J18:K21"/>
    <mergeCell ref="B19:F19"/>
  </mergeCells>
  <pageMargins left="0.23622047244094491" right="0.23622047244094491" top="0.74803149606299213" bottom="0.15748031496062992" header="0" footer="0"/>
  <pageSetup orientation="landscape" r:id="rId1"/>
  <headerFooter>
    <oddHeader>&amp;LGerencia de Construcción de Vías y Puentes. 
Unidad Ejecutora&amp;CFecha informe: 15 de junio de 2023. 
Periodo que reporta: Mayo 2023.&amp;RAprobado por:    
Ing. Pablo Camacho Salazar</oddHead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7C7CA8A-3D24-42A8-947B-25D4BA7628AA}">
          <x14:formula1>
            <xm:f>Sumario!$A$2:$A$42</xm:f>
          </x14:formula1>
          <xm:sqref>A1:AM1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Sumario</vt:lpstr>
      <vt:lpstr>6. Garza Nosara</vt:lpstr>
      <vt:lpstr>8. Seráfico</vt:lpstr>
      <vt:lpstr>24. La Galera</vt:lpstr>
      <vt:lpstr>28. Brasilito</vt:lpstr>
      <vt:lpstr>42. Flores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Mavet Salas Perez</dc:creator>
  <cp:lastModifiedBy>Julian Rueda Segura</cp:lastModifiedBy>
  <dcterms:created xsi:type="dcterms:W3CDTF">2022-06-09T19:43:52Z</dcterms:created>
  <dcterms:modified xsi:type="dcterms:W3CDTF">2023-06-15T17:36:50Z</dcterms:modified>
</cp:coreProperties>
</file>